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5600" windowHeight="5715" firstSheet="1" activeTab="8"/>
  </bookViews>
  <sheets>
    <sheet name="NOMINA2016" sheetId="1" r:id="rId1"/>
    <sheet name="IRPF2016" sheetId="2" r:id="rId2"/>
    <sheet name="Ayuda" sheetId="3" r:id="rId3"/>
    <sheet name="Cnae" sheetId="4" r:id="rId4"/>
    <sheet name="CONTRATO" sheetId="5" r:id="rId5"/>
    <sheet name="ANEXO ENF" sheetId="6" r:id="rId6"/>
    <sheet name="NOMINA2016 ENF" sheetId="7" r:id="rId7"/>
    <sheet name="ANEXO ACC" sheetId="8" r:id="rId8"/>
    <sheet name="NOMINA2016 ACC" sheetId="9" r:id="rId9"/>
  </sheets>
  <definedNames>
    <definedName name="ABRIL" localSheetId="8">'NOMINA2016 ACC'!$C$6</definedName>
    <definedName name="ABRIL" localSheetId="6">'NOMINA2016 ENF'!$C$6</definedName>
    <definedName name="ABRIL">'NOMINA2016'!$C$6</definedName>
    <definedName name="AGOSTO" localSheetId="8">'NOMINA2016 ACC'!$C$6</definedName>
    <definedName name="AGOSTO" localSheetId="6">'NOMINA2016 ENF'!$C$6</definedName>
    <definedName name="AGOSTO">'NOMINA2016'!$C$6</definedName>
    <definedName name="_xlnm.Print_Area" localSheetId="7">'ANEXO ACC'!$A$2:$AL$40</definedName>
    <definedName name="_xlnm.Print_Area" localSheetId="0">'NOMINA2016'!$A$1:$H$68</definedName>
    <definedName name="_xlnm.Print_Area" localSheetId="8">'NOMINA2016 ACC'!$A$1:$H$68</definedName>
    <definedName name="DICIEMBRE" localSheetId="8">'NOMINA2016 ACC'!$C$6</definedName>
    <definedName name="DICIEMBRE" localSheetId="6">'NOMINA2016 ENF'!$C$6</definedName>
    <definedName name="DICIEMBRE">'NOMINA2016'!$C$6</definedName>
    <definedName name="ENERO" localSheetId="8">'NOMINA2016 ACC'!$C$6</definedName>
    <definedName name="ENERO" localSheetId="6">'NOMINA2016 ENF'!$C$6</definedName>
    <definedName name="ENERO">'NOMINA2016'!$C$6</definedName>
    <definedName name="FEBRERO" localSheetId="8">'NOMINA2016 ACC'!$C$6</definedName>
    <definedName name="FEBRERO" localSheetId="6">'NOMINA2016 ENF'!$C$6</definedName>
    <definedName name="FEBRERO">'NOMINA2016'!$C$6</definedName>
    <definedName name="JULIO" localSheetId="8">'NOMINA2016 ACC'!$C$6</definedName>
    <definedName name="JULIO" localSheetId="6">'NOMINA2016 ENF'!$C$6</definedName>
    <definedName name="JULIO">'NOMINA2016'!$C$6</definedName>
    <definedName name="JUNIO" localSheetId="8">'NOMINA2016 ACC'!$C$6</definedName>
    <definedName name="JUNIO" localSheetId="6">'NOMINA2016 ENF'!$C$6</definedName>
    <definedName name="JUNIO">'NOMINA2016'!$C$6</definedName>
    <definedName name="MARZO" localSheetId="8">'NOMINA2016 ACC'!$C$6</definedName>
    <definedName name="MARZO" localSheetId="6">'NOMINA2016 ENF'!$C$6</definedName>
    <definedName name="MARZO">'NOMINA2016'!$C$6</definedName>
    <definedName name="MAYO" localSheetId="8">'NOMINA2016 ACC'!$C$6</definedName>
    <definedName name="MAYO" localSheetId="6">'NOMINA2016 ENF'!$C$6</definedName>
    <definedName name="MAYO">'NOMINA2016'!$C$6</definedName>
    <definedName name="NOVIEMBRE" localSheetId="8">'NOMINA2016 ACC'!$C$6</definedName>
    <definedName name="NOVIEMBRE" localSheetId="6">'NOMINA2016 ENF'!$C$6</definedName>
    <definedName name="NOVIEMBRE">'NOMINA2016'!$C$6</definedName>
    <definedName name="OCTUBRE" localSheetId="8">'NOMINA2016 ACC'!$C$6</definedName>
    <definedName name="OCTUBRE" localSheetId="6">'NOMINA2016 ENF'!$C$6</definedName>
    <definedName name="OCTUBRE">'NOMINA2016'!$C$6</definedName>
    <definedName name="SEPTIEMBRE" localSheetId="8">'NOMINA2016 ACC'!$C$6</definedName>
    <definedName name="SEPTIEMBRE" localSheetId="6">'NOMINA2016 ENF'!$C$6</definedName>
    <definedName name="SEPTIEMBRE">'NOMINA2016'!$C$6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4" authorId="0">
      <text>
        <r>
          <rPr>
            <sz val="9"/>
            <rFont val="Tahoma"/>
            <family val="2"/>
          </rPr>
          <t>GRUPOS MENSUALES:   2016   BASES MINIMAS  BASES MAXIMAS
  1. Ingenieros y Licenciados         1.067,40              3.642,00
  2. Ingenieros Tecn. Pèritos            885,30              3.642,00
  3. Jefes administr. y de taller         770,10              3.642,00
  4. Ayudantes no titulados              764,40              3.642,00
  5. Oficiales administrativos             764,40              3.642,00
  6. Subalternos                             764,40              3.642,00
  7. Auxiliares administrativos           764,40              3.642,00
GRUPOS DIARIOS:   2016
  8. Oficiales primera y segunda          25,48                121,40
  9. Oficiales tercera y especialistas      25,48                121,40
10. Peones                                       25,48                121,40
11. Menores de 18 años                     25,48                121,40</t>
        </r>
      </text>
    </comment>
    <comment ref="D63" authorId="0">
      <text>
        <r>
          <rPr>
            <sz val="9"/>
            <rFont val="Tahoma"/>
            <family val="2"/>
          </rPr>
          <t>DESEMPLEO           EMPRESA       TRABAJADORES        TOTAL
Tipo General               5,50%                1,55%              7,05%
Contrato duración
determinada               6,70%                1,60%              8,30%
tiempo completo
Contrato duración
determinada               6,70%                1,60%              8,30%
tiempo parcial</t>
        </r>
        <r>
          <rPr>
            <b/>
            <sz val="9"/>
            <rFont val="Tahoma"/>
            <family val="2"/>
          </rPr>
          <t xml:space="preserve">
   </t>
        </r>
      </text>
    </comment>
    <comment ref="D13" authorId="0">
      <text>
        <r>
          <rPr>
            <sz val="9"/>
            <rFont val="Tahoma"/>
            <family val="0"/>
          </rPr>
          <t>A TENER EN CUENTA QUE SE PONDRA 'SI', CUANDO EL CONCEPTO ENTRE EN LAS PAGAS EXTRAS.</t>
        </r>
      </text>
    </comment>
    <comment ref="E4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Rellenar los campos en rojo de la hoja 'Ayuda' para que nos de el % de retención aaplicar</t>
        </r>
      </text>
    </comment>
    <comment ref="C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vacaciones.
</t>
        </r>
      </text>
    </comment>
    <comment ref="C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</t>
        </r>
      </text>
    </comment>
    <comment ref="C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</t>
        </r>
      </text>
    </comment>
    <comment ref="A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Solo las dietas fuera de la población de la empresa NO cotizan por IRPF. 
Hasta un tope de 26,67€/día</t>
        </r>
      </text>
    </comment>
    <comment ref="F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Dias realmente trabajados.
Comprobar en calendario</t>
        </r>
      </text>
    </comment>
    <comment ref="G25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Este importe suma para el total Bruto pero no para la base sujeta a IRPF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4" authorId="0">
      <text>
        <r>
          <rPr>
            <sz val="9"/>
            <rFont val="Tahoma"/>
            <family val="2"/>
          </rPr>
          <t>GRUPOS MENSUALES:   2016   BASES MINIMAS  BASES MAXIMAS
  1. Ingenieros y Licenciados         1.067,40              3.642,00
  2. Ingenieros Tecn. Pèritos            885,30              3.642,00
  3. Jefes administr. y de taller         770,10              3.642,00
  4. Ayudantes no titulados              764,40              3.642,00
  5. Oficiales administrativos             764,40              3.642,00
  6. Subalternos                             764,40              3.642,00
  7. Auxiliares administrativos           764,40              3.642,00
GRUPOS DIARIOS:   2016
  8. Oficiales primera y segunda          25,48                121,40
  9. Oficiales tercera y especialistas      25,48                121,40
10. Peones                                       25,48                121,40
11. Menores de 18 años                     25,48                121,40</t>
        </r>
      </text>
    </comment>
    <comment ref="D13" authorId="0">
      <text>
        <r>
          <rPr>
            <sz val="9"/>
            <rFont val="Tahoma"/>
            <family val="0"/>
          </rPr>
          <t>A TENER EN CUENTA QUE SE PONDRA 'SI', CUANDO EL CONCEPTO ENTRE EN LAS PAGAS EXTRAS.</t>
        </r>
      </text>
    </comment>
    <comment ref="C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vacaciones.
</t>
        </r>
      </text>
    </comment>
    <comment ref="C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</t>
        </r>
      </text>
    </comment>
    <comment ref="C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</t>
        </r>
      </text>
    </comment>
    <comment ref="A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Solo las dietas fuera de la población de la empresa NO cotizan por IRPF. 
Hasta un tope de 26,87€/día</t>
        </r>
      </text>
    </comment>
    <comment ref="E4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toma el dato de la misma celda de la hoja 'NOMINA2016'
NO MODIFICAR SITUACION FAMILIAR en la hoja 'Ayuda'</t>
        </r>
      </text>
    </comment>
    <comment ref="D63" authorId="0">
      <text>
        <r>
          <rPr>
            <sz val="9"/>
            <rFont val="Tahoma"/>
            <family val="2"/>
          </rPr>
          <t>DESEMPLEO           EMPRESA       TRABAJADORES        TOTAL
Tipo General               5,50%                1,55%              7,05%
Contrato duración
determinada               6,70%                1,60%              8,30%
tiempo completo
Contrato duración
determinada               6,70%                1,60%              8,30%
tiempo parcial</t>
        </r>
        <r>
          <rPr>
            <b/>
            <sz val="9"/>
            <rFont val="Tahoma"/>
            <family val="2"/>
          </rPr>
          <t xml:space="preserve">
   </t>
        </r>
      </text>
    </comment>
    <comment ref="F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ATENCIÓN: son los días realmente trabajados que computan para complementos diarios. VER CALENDARIO por si existen festivos o fines de semana</t>
        </r>
      </text>
    </comment>
    <comment ref="G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Total mensual : 30 días x numero de dias (E11)</t>
        </r>
      </text>
    </comment>
    <comment ref="G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Total mensual : 30 días x numero de dias (E11)</t>
        </r>
      </text>
    </comment>
    <comment ref="G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Total mensual : 30 días x numero de dias (E11)</t>
        </r>
      </text>
    </comment>
    <comment ref="G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Incentivo diario x días realmente trabajados
Descontar festivos y fines de semana</t>
        </r>
      </text>
    </comment>
    <comment ref="G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Incentivo diario x días realmente trabajados
Descontar festivos y fines de semana</t>
        </r>
      </text>
    </comment>
    <comment ref="D3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Bruto del mes anterior sin IT</t>
        </r>
      </text>
    </comment>
    <comment ref="D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Bruto del mes con IT antes de aplicar el complemento al 100%</t>
        </r>
      </text>
    </comment>
    <comment ref="E3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Incentivos del mes anterior a descontar del BRUTO  que no sean iguales todos los meses. (ej horas extras o complementos no divisibles por el mes)</t>
        </r>
      </text>
    </comment>
    <comment ref="F3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Diferencia una vez compensados los BRUTOS que no son homogeneos en ambos meses</t>
        </r>
      </text>
    </comment>
    <comment ref="E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Incentivos del mes con IT a descontar del BRUTO que no sean iguales todos los meses. (ej horas extras o complementos no divisibles por el mes)</t>
        </r>
      </text>
    </comment>
    <comment ref="D5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contingencias comunes calculadas en el anexo por los días de IT</t>
        </r>
      </text>
    </comment>
    <comment ref="E5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Contingencias profesionales calculadas en el anexo por los días de IT
</t>
        </r>
      </text>
    </comment>
    <comment ref="E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0"/>
          </rPr>
          <t xml:space="preserve">
Estos son los días del mes que NO ha estado de baja.
Incluye festivos y fines de semana.
</t>
        </r>
      </text>
    </comment>
    <comment ref="C4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Se toma de la misma casilla de la hoja 'NOMINA2016' ya que el cálculo anual es el mismo (sale de una nónina completa)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H2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El trabajador tiene derecho a incrementar su base de cotización en caso de ACC con el promedio de las horas extras de los 12 meses anteriores al de la baja</t>
        </r>
      </text>
    </comment>
    <comment ref="J3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Introducir todos los dias de baja desde el primero, sin descontar los 3 días exentos en caso de IT por enfermedad común. Solo descontar el primero en caso de IT por Acc.</t>
        </r>
      </text>
    </comment>
    <comment ref="X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Introducir todos los dias de baja desde el primero, sin descontar los 3 días exentos en caso de IT por enfermedad común.
Accidente poner a partir del día siguiente de la baja.</t>
        </r>
      </text>
    </comment>
    <comment ref="AD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Las mutuas pagan, a partir del siguiente día de la baja, el 75% de la base reguladora ("A"+"B")</t>
        </r>
      </text>
    </comment>
    <comment ref="U39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Esta base es el "TOTAL BASE REGULADORA" del "CÁLCULO DEL SUBSIDIO DIARIO" Ya que el trabajador está obligado a cotizar durante los días de IT por ACC también por el promedio de horas extras anuales.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D4" authorId="0">
      <text>
        <r>
          <rPr>
            <sz val="9"/>
            <rFont val="Tahoma"/>
            <family val="2"/>
          </rPr>
          <t>GRUPOS MENSUALES:   2016   BASES MINIMAS  BASES MAXIMAS
  1. Ingenieros y Licenciados         1.067,40              3.642,00
  2. Ingenieros Tecn. Pèritos            885,30              3.642,00
  3. Jefes administr. y de taller         770,10              3.642,00
  4. Ayudantes no titulados              764,40              3.642,00
  5. Oficiales administrativos             764,40              3.642,00
  6. Subalternos                             764,40              3.642,00
  7. Auxiliares administrativos           764,40              3.642,00
GRUPOS DIARIOS:   2016
  8. Oficiales primera y segunda          25,48                121,40
  9. Oficiales tercera y especialistas      25,48                121,40
10. Peones                                       25,48                121,40
11. Menores de 18 años                     25,48                121,40</t>
        </r>
      </text>
    </comment>
    <comment ref="F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Dias realmente trabajados.
Comprobar en calendario</t>
        </r>
      </text>
    </comment>
    <comment ref="D13" authorId="0">
      <text>
        <r>
          <rPr>
            <sz val="9"/>
            <rFont val="Tahoma"/>
            <family val="0"/>
          </rPr>
          <t>A TENER EN CUENTA QUE SE PONDRA 'SI', CUANDO EL CONCEPTO ENTRE EN LAS PAGAS EXTRAS.</t>
        </r>
      </text>
    </comment>
    <comment ref="C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vacaciones.
</t>
        </r>
      </text>
    </comment>
    <comment ref="C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</t>
        </r>
      </text>
    </comment>
    <comment ref="C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Si ponemos "NO VAC" en esta celda,  el cálculo del salario ANUAL multiplicará por 11 meses, descontando el mes de vacaciones</t>
        </r>
      </text>
    </comment>
    <comment ref="A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Solo las dietas fuera de la población de la empresa NO cotizan por IRPF. 
Hasta un tope de 26,87€/día</t>
        </r>
      </text>
    </comment>
    <comment ref="G25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Este importe suma para el total Bruto pero no para la base sujeta a IRPF</t>
        </r>
      </text>
    </comment>
    <comment ref="E4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Rellenar los campos en rojo de la hoja 'Ayuda' para que nos de el % de retención aaplicar</t>
        </r>
      </text>
    </comment>
    <comment ref="D63" authorId="0">
      <text>
        <r>
          <rPr>
            <sz val="9"/>
            <rFont val="Tahoma"/>
            <family val="2"/>
          </rPr>
          <t>DESEMPLEO           EMPRESA       TRABAJADORES        TOTAL
Tipo General               5,50%                1,55%              7,05%
Contrato duración
determinada               6,70%                1,60%              8,30%
tiempo completo
Contrato duración
determinada               6,70%                1,60%              8,30%
tiempo parcial</t>
        </r>
        <r>
          <rPr>
            <b/>
            <sz val="9"/>
            <rFont val="Tahoma"/>
            <family val="2"/>
          </rPr>
          <t xml:space="preserve">
   </t>
        </r>
      </text>
    </comment>
    <comment ref="C4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Se toma de la misma casilla de la hoja 'NOMINA2016' ya que el cálculo anual es el mismo (sale de una nónina completa)</t>
        </r>
      </text>
    </comment>
  </commentList>
</comments>
</file>

<file path=xl/sharedStrings.xml><?xml version="1.0" encoding="utf-8"?>
<sst xmlns="http://schemas.openxmlformats.org/spreadsheetml/2006/main" count="759" uniqueCount="479">
  <si>
    <t>TOTAL</t>
  </si>
  <si>
    <t>SEGURIDAD SOCIAL</t>
  </si>
  <si>
    <t>TOTAL DEDUCCIONES</t>
  </si>
  <si>
    <t>BASE IRPF</t>
  </si>
  <si>
    <t>de</t>
  </si>
  <si>
    <t>a</t>
  </si>
  <si>
    <t>TIPO IRPF</t>
  </si>
  <si>
    <t>TIPO TOTAL</t>
  </si>
  <si>
    <t>TOTAL ANUAL NETO</t>
  </si>
  <si>
    <t>TOTAL BRUTO</t>
  </si>
  <si>
    <t>MINIMO PERSONAL</t>
  </si>
  <si>
    <t>DESCENDIENTES</t>
  </si>
  <si>
    <t>ASCENDIENTES</t>
  </si>
  <si>
    <t>RETENCION 1</t>
  </si>
  <si>
    <t>RETENCION 2</t>
  </si>
  <si>
    <t>TABLA TRAMOS IRPF</t>
  </si>
  <si>
    <t>SALARIO BRUTO</t>
  </si>
  <si>
    <t>OTROS INGRESOS</t>
  </si>
  <si>
    <t>OTROS INGRESOS (1)</t>
  </si>
  <si>
    <t>RETENCIÓN IRPF</t>
  </si>
  <si>
    <t>MENSUALIDAD NETA</t>
  </si>
  <si>
    <t>RTOS TRABAJO</t>
  </si>
  <si>
    <t>OTROS</t>
  </si>
  <si>
    <t>No</t>
  </si>
  <si>
    <t>3 o más hijos</t>
  </si>
  <si>
    <t>MÍNIMO PERSONAL</t>
  </si>
  <si>
    <t>Edad</t>
  </si>
  <si>
    <t>años</t>
  </si>
  <si>
    <t>hijos</t>
  </si>
  <si>
    <t>ascendientes</t>
  </si>
  <si>
    <t>Hijos solteros &lt;25 años e ingresos anuales &lt;8000 euros que convivan con el contribuyente</t>
  </si>
  <si>
    <t xml:space="preserve">De los anteriores indicar el número de hijos &lt;3 años </t>
  </si>
  <si>
    <t>Ascendientes &gt;65 años pero &lt;75 años con ingresos anuales &lt;8000 euros que convivan con el contribuyente (al menos 6 meses)</t>
  </si>
  <si>
    <t>Ascendientes &gt;75 años con ingresos anuales &lt;8000 euros que convivan con el contribuyente (al menos 6 meses)</t>
  </si>
  <si>
    <t>Ascendientes &lt;65 años con ingresos anuales &lt;8000 euros y minusvalía que convivan con el contribuyente (al menos 6 meses)</t>
  </si>
  <si>
    <t>ASCENDIENTES (2)</t>
  </si>
  <si>
    <t xml:space="preserve">Número de descendientes con grado de minusvalía &gt;=33% y &lt;65% </t>
  </si>
  <si>
    <t>Número de descendientes con grado de minusvalía &gt;=65%</t>
  </si>
  <si>
    <t xml:space="preserve">Número de ascendientes con grado de minusvalía &gt;=33% y &lt;65% </t>
  </si>
  <si>
    <t>Número de ascendientes con grado de minusvalía &gt;=65%</t>
  </si>
  <si>
    <t>descendientes</t>
  </si>
  <si>
    <t>MINUSVALÍAS (4)</t>
  </si>
  <si>
    <t>MINUSVALÍAS</t>
  </si>
  <si>
    <t>MINIMO FAMILIAR</t>
  </si>
  <si>
    <t>TIPO SS (2)</t>
  </si>
  <si>
    <t>LIBRE DE TRIBUTACIÓN (3)</t>
  </si>
  <si>
    <t>Derechos en "exclusiva" sobre los descendientes (1)</t>
  </si>
  <si>
    <r>
      <t>Nota 1:</t>
    </r>
    <r>
      <rPr>
        <sz val="10"/>
        <rFont val="Arial"/>
        <family val="2"/>
      </rPr>
      <t xml:space="preserve"> Derechos en "exclusiva" se refiere a cuando es el contribuyente el único que se desgrava por el hijo.</t>
    </r>
  </si>
  <si>
    <r>
      <t>Nota 2:</t>
    </r>
    <r>
      <rPr>
        <sz val="10"/>
        <rFont val="Arial"/>
        <family val="2"/>
      </rPr>
      <t xml:space="preserve"> Son considerados ascendientes los padres, los abuelos, y el resto de ascendientes en linea directa del contribuyente</t>
    </r>
  </si>
  <si>
    <t>Hijos &gt;=25 años con minusvalía  e ingresos anuales &lt;8000 euros que convivan con el contribuyente</t>
  </si>
  <si>
    <r>
      <t>Nota 3:</t>
    </r>
    <r>
      <rPr>
        <sz val="10"/>
        <rFont val="Arial"/>
        <family val="2"/>
      </rPr>
      <t xml:space="preserve"> La desgravación se prorratea en el caso de que el ascendiente, aun conviviendo más de 6 meses, no habite el año completo con el contribuyente</t>
    </r>
  </si>
  <si>
    <r>
      <t>Nota 4:</t>
    </r>
    <r>
      <rPr>
        <sz val="10"/>
        <rFont val="Arial"/>
        <family val="2"/>
      </rPr>
      <t xml:space="preserve"> Solo se aplica a los descendientes y/o ascendientes que convivan con el contribuyente y que tengan unos ingresos anuales menores de 8000 euros</t>
    </r>
  </si>
  <si>
    <t>Nº HIJOS</t>
  </si>
  <si>
    <t>2 o más</t>
  </si>
  <si>
    <t>Soltero, Viudos, Divorciado o Separado</t>
  </si>
  <si>
    <t>-</t>
  </si>
  <si>
    <t>Otros (Solteros sin hijos, cónyuge &gt; 1500 euros)</t>
  </si>
  <si>
    <t>Con cónyuge (ingresos de este &lt; 1500 euros año)</t>
  </si>
  <si>
    <t>SITUACION FAMILIAR</t>
  </si>
  <si>
    <t>BASES SEGURIDAD SOCIAL</t>
  </si>
  <si>
    <t>MÁXIMO</t>
  </si>
  <si>
    <t>MÍNIMO</t>
  </si>
  <si>
    <t>Ingenieros y Licenciados</t>
  </si>
  <si>
    <t>Ingenieros Técnicos, Peritos y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</si>
  <si>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</si>
  <si>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</si>
  <si>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</si>
  <si>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</si>
  <si>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</si>
  <si>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Euros/mes</t>
  </si>
  <si>
    <t>CONTINGENCIAS</t>
  </si>
  <si>
    <t>F.P</t>
  </si>
  <si>
    <t>DESEMPLEO</t>
  </si>
  <si>
    <t>COTIZACIONES SEGURIDAD SOCIAL</t>
  </si>
  <si>
    <t>INTRODUCIR SEGÚN LA CATEGORÍA PROFESIONAL EL VALOR MIN. Y MAX. DE BASES DE LA S.S CORRESPONDIENTE</t>
  </si>
  <si>
    <t>Retención</t>
  </si>
  <si>
    <r>
      <t xml:space="preserve">1 - Rellenar "exclusivamente" las casillas en </t>
    </r>
    <r>
      <rPr>
        <b/>
        <sz val="10"/>
        <color indexed="10"/>
        <rFont val="Arial"/>
        <family val="2"/>
      </rPr>
      <t>rojo</t>
    </r>
    <r>
      <rPr>
        <sz val="10"/>
        <rFont val="Arial"/>
        <family val="2"/>
      </rPr>
      <t xml:space="preserve"> que apliquen</t>
    </r>
  </si>
  <si>
    <t>Número de contribuyentes que se aplican esta deducción sobre este descendiente (3)</t>
  </si>
  <si>
    <t>Pensionistas o Clases Pasivas</t>
  </si>
  <si>
    <t>Trabajador con Minusvalía &gt;=33% y &lt;65%</t>
  </si>
  <si>
    <t>Trabajador con Minúsvalía &gt;65%</t>
  </si>
  <si>
    <t>Percibe Prestacion o Subsidio por Desempleo</t>
  </si>
  <si>
    <r>
      <rPr>
        <b/>
        <i/>
        <u val="single"/>
        <sz val="16"/>
        <rFont val="Arial"/>
        <family val="2"/>
      </rPr>
      <t>INSTRUCCIONES</t>
    </r>
    <r>
      <rPr>
        <sz val="10"/>
        <rFont val="Arial"/>
        <family val="2"/>
      </rPr>
      <t xml:space="preserve"> (en </t>
    </r>
    <r>
      <rPr>
        <b/>
        <sz val="10"/>
        <color indexed="10"/>
        <rFont val="Arial"/>
        <family val="2"/>
      </rPr>
      <t>rojo</t>
    </r>
    <r>
      <rPr>
        <sz val="10"/>
        <rFont val="Arial"/>
        <family val="2"/>
      </rPr>
      <t xml:space="preserve"> datos de entrada / en </t>
    </r>
    <r>
      <rPr>
        <b/>
        <sz val="10"/>
        <color indexed="48"/>
        <rFont val="Arial"/>
        <family val="2"/>
      </rPr>
      <t>azul</t>
    </r>
    <r>
      <rPr>
        <sz val="10"/>
        <rFont val="Arial"/>
        <family val="2"/>
      </rPr>
      <t xml:space="preserve"> datos de salida)</t>
    </r>
  </si>
  <si>
    <r>
      <t>2 - Una vez rellenas las casillas necesarias regresar a la hoja principal (pinchar en la pestaña "</t>
    </r>
    <r>
      <rPr>
        <b/>
        <sz val="10"/>
        <rFont val="Arial"/>
        <family val="2"/>
      </rPr>
      <t>2015</t>
    </r>
    <r>
      <rPr>
        <sz val="10"/>
        <rFont val="Arial"/>
        <family val="2"/>
      </rPr>
      <t>" correspondiente)</t>
    </r>
  </si>
  <si>
    <t>EMPRESA</t>
  </si>
  <si>
    <t>TRABAJADOR</t>
  </si>
  <si>
    <t>SI</t>
  </si>
  <si>
    <t>DOMICILIO</t>
  </si>
  <si>
    <t>NIF</t>
  </si>
  <si>
    <t>Nº S.S</t>
  </si>
  <si>
    <t>NO</t>
  </si>
  <si>
    <t>CIF</t>
  </si>
  <si>
    <t>CATEGORIA</t>
  </si>
  <si>
    <t>FORMA PAGO (D/M)</t>
  </si>
  <si>
    <t>M</t>
  </si>
  <si>
    <t>CCC</t>
  </si>
  <si>
    <t>Gº.COTIZACION</t>
  </si>
  <si>
    <t>ANTIGÜEDAD</t>
  </si>
  <si>
    <t>NRO.  PAGAS EXTRAORDINARIAS</t>
  </si>
  <si>
    <t>Periodo liquidación</t>
  </si>
  <si>
    <t>I. DEVENGOS</t>
  </si>
  <si>
    <t>TOTALES</t>
  </si>
  <si>
    <t>1. Percepciones salariales</t>
  </si>
  <si>
    <t>SALARIO DE REFERENCIA</t>
  </si>
  <si>
    <t>NUMERO DE DIAS</t>
  </si>
  <si>
    <t>Salario base</t>
  </si>
  <si>
    <t>Complementos salariales</t>
  </si>
  <si>
    <t>PPEE</t>
  </si>
  <si>
    <t>Horas extraordinarias normales</t>
  </si>
  <si>
    <t>Horas extraordinarias fuerza mayor</t>
  </si>
  <si>
    <t>Salario en especie</t>
  </si>
  <si>
    <t>2. Percepciones no salariales</t>
  </si>
  <si>
    <t>Indemnizaciones o Suplidos</t>
  </si>
  <si>
    <t>CON IRPF Y SS</t>
  </si>
  <si>
    <t>Prestaciones e indemnizaciones de la Seguridad Social</t>
  </si>
  <si>
    <t>PAGO DELEGADO</t>
  </si>
  <si>
    <t>60%EMPRESA</t>
  </si>
  <si>
    <t>COMPL.100%</t>
  </si>
  <si>
    <t>DELEG.MUTUA</t>
  </si>
  <si>
    <t>CALCULO COMPLEMENTO 100%</t>
  </si>
  <si>
    <t>A. TOTAL DEVENGADO O BRUTO</t>
  </si>
  <si>
    <t>II. DEDUCCIONES</t>
  </si>
  <si>
    <t>1. Aportaciones del trabajador a las cotizaciones a la S.S. y recaudación conjunta</t>
  </si>
  <si>
    <t>Porcentaje</t>
  </si>
  <si>
    <t>Contingencias comunes</t>
  </si>
  <si>
    <t>Desempleo</t>
  </si>
  <si>
    <t>Formación Profesional</t>
  </si>
  <si>
    <t>Horas extraordinarias Normales</t>
  </si>
  <si>
    <t>Horas extraordinarias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</si>
  <si>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</si>
  <si>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</si>
  <si>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</si>
  <si>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</si>
  <si>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</si>
  <si>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</si>
  <si>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NETO O</t>
  </si>
  <si>
    <t>LIQUIDO TOTAL A PERCIBIR (A-B)</t>
  </si>
  <si>
    <t>Firma y sello de la empresa</t>
  </si>
  <si>
    <t>Fecha</t>
  </si>
  <si>
    <t>Recibi</t>
  </si>
  <si>
    <t>DETERMINACION DE LAS BASES DE COTIZACION A LA SEGURIDAD SOCIAL Y CONCEPTOS DE RECAUDACION</t>
  </si>
  <si>
    <t>CONCEPTO</t>
  </si>
  <si>
    <t>CONT. COMUNES</t>
  </si>
  <si>
    <t>CONT.PROFES.</t>
  </si>
  <si>
    <t>APORTAC. EMPRESA</t>
  </si>
  <si>
    <t>1. Contingencias comunes</t>
  </si>
  <si>
    <t>Importe remuneración mensual</t>
  </si>
  <si>
    <t>Importe prorrata pagas extras</t>
  </si>
  <si>
    <t>AT y EP</t>
  </si>
  <si>
    <t>2. Contingencias profesionales y</t>
  </si>
  <si>
    <t>conceptos de recaudación conjunta</t>
  </si>
  <si>
    <t>Fondo Garantía Salarial</t>
  </si>
  <si>
    <t>3. Cotización adicional por horas extraordinarias</t>
  </si>
  <si>
    <t>Normales</t>
  </si>
  <si>
    <t>4. Cotización adicional por horas extraordinarias</t>
  </si>
  <si>
    <t>Fuerza mayor</t>
  </si>
  <si>
    <t>COSTE EMPRESA =</t>
  </si>
  <si>
    <t>5. Base sujeta a retención del IRPF =</t>
  </si>
  <si>
    <t>ANUAL =</t>
  </si>
  <si>
    <t>NO TOCAR</t>
  </si>
  <si>
    <r>
      <rPr>
        <b/>
        <i/>
        <u val="single"/>
        <sz val="16"/>
        <rFont val="Arial"/>
        <family val="2"/>
      </rPr>
      <t>INSTRUCCIONES</t>
    </r>
    <r>
      <rPr>
        <sz val="10"/>
        <rFont val="Arial"/>
        <family val="2"/>
      </rPr>
      <t xml:space="preserve"> (en </t>
    </r>
    <r>
      <rPr>
        <b/>
        <sz val="10"/>
        <color indexed="10"/>
        <rFont val="Arial"/>
        <family val="2"/>
      </rPr>
      <t>rojo</t>
    </r>
    <r>
      <rPr>
        <sz val="10"/>
        <rFont val="Arial"/>
        <family val="2"/>
      </rPr>
      <t xml:space="preserve"> datos de entrada / en </t>
    </r>
    <r>
      <rPr>
        <b/>
        <sz val="10"/>
        <color indexed="48"/>
        <rFont val="Arial"/>
        <family val="2"/>
      </rPr>
      <t>azul</t>
    </r>
    <r>
      <rPr>
        <sz val="10"/>
        <rFont val="Arial"/>
        <family val="2"/>
      </rPr>
      <t xml:space="preserve"> datos de salida)  </t>
    </r>
    <r>
      <rPr>
        <b/>
        <sz val="12"/>
        <color indexed="10"/>
        <rFont val="Arial"/>
        <family val="2"/>
      </rPr>
      <t>NO HACER CASO DE ESTAS INSTRUCCIONES, VER B42</t>
    </r>
  </si>
  <si>
    <t xml:space="preserve">OJO ES MUY IMPORTANTE DESPUES DE PONER CANTIDADES NO BORRAR, DEJAR SIEMPRE LAS CASILLAS "0" ASI, SI BORRAIS ELIMINAIS FORMULA </t>
  </si>
  <si>
    <r>
      <t xml:space="preserve">             </t>
    </r>
    <r>
      <rPr>
        <b/>
        <u val="single"/>
        <sz val="10"/>
        <rFont val="Bookman Old Style"/>
        <family val="1"/>
      </rPr>
      <t>CONJUNTA Y DE LA BASE SUJETA A RETENCION DEL IRPF Y APORTACION DE LA EMPRESA</t>
    </r>
  </si>
  <si>
    <t>Si</t>
  </si>
  <si>
    <t>CNAE</t>
  </si>
  <si>
    <t>TOTAL ANUAL ESTIMADO</t>
  </si>
  <si>
    <t>IT</t>
  </si>
  <si>
    <t>IMS</t>
  </si>
  <si>
    <t>BASES</t>
  </si>
  <si>
    <t>TIPO PORCENTAJE</t>
  </si>
  <si>
    <t>FGS SOLO A CARGO EMPRESA</t>
  </si>
  <si>
    <t>SIN IRPF NI SS</t>
  </si>
  <si>
    <t>CON IRPF SIN SS</t>
  </si>
  <si>
    <r>
      <t>Tipo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cotiz.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IT</t>
    </r>
  </si>
  <si>
    <r>
      <t>Tipo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cotiz.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IMS</t>
    </r>
  </si>
  <si>
    <r>
      <t>Tipo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cotiz.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Total</t>
    </r>
  </si>
  <si>
    <r>
      <t>Códigos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CNAE-2009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y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título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de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la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actividad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económica</t>
    </r>
  </si>
  <si>
    <r>
      <t>Agricultura,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ganadería,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caza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relacionados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mismas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Excepto:</t>
    </r>
  </si>
  <si>
    <r>
      <t>Cultivo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hortalizas,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raíces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tubérculos</t>
    </r>
  </si>
  <si>
    <r>
      <t>Otros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cultivos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perennes</t>
    </r>
  </si>
  <si>
    <r>
      <t>Otros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cultivos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perennes</t>
    </r>
  </si>
  <si>
    <r>
      <t>Propagación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plantas</t>
    </r>
  </si>
  <si>
    <r>
      <t>Producción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ganadera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0147)</t>
    </r>
  </si>
  <si>
    <t>Avicultura</t>
  </si>
  <si>
    <r>
      <t>Producción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agrícola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combinada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ganadera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</si>
  <si>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apoyo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agricultura,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ganadería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preparación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posterior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cosecha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0164)</t>
    </r>
  </si>
  <si>
    <r>
      <t>Tratamiento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semillas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reproducción</t>
    </r>
  </si>
  <si>
    <r>
      <t>Caza,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captura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animales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relacionados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con</t>
    </r>
  </si>
  <si>
    <r>
      <t>Silvicultura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explotación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forestal</t>
    </r>
  </si>
  <si>
    <r>
      <t>Pesca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acuicultura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0322)</t>
    </r>
  </si>
  <si>
    <t>v</t>
  </si>
  <si>
    <r>
      <t>Grupo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segundo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cotización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Régimen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especial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del Mar</t>
    </r>
  </si>
  <si>
    <t>w</t>
  </si>
  <si>
    <r>
      <t>Grupo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tercero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cotización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Régimen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especial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Mar</t>
    </r>
  </si>
  <si>
    <r>
      <t>Acuicultura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agua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dulce</t>
    </r>
  </si>
  <si>
    <r>
      <t>Extracción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antracita,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hulla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lignito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y)</t>
    </r>
  </si>
  <si>
    <t>y</t>
  </si>
  <si>
    <r>
      <t>Trabajos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habituales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interior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minas</t>
    </r>
  </si>
  <si>
    <r>
      <t>Extracción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crudo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petróleo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natural</t>
    </r>
  </si>
  <si>
    <r>
      <t>Extracción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minerales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metálicos</t>
    </r>
  </si>
  <si>
    <r>
      <t>Otras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industrias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extractivas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0811)</t>
    </r>
  </si>
  <si>
    <r>
      <t>Extracción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piedra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ornamental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para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construcción,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piedra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caliza,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yeso,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creta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pizarra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</si>
  <si>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apoyo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industrias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extractivas</t>
    </r>
  </si>
  <si>
    <r>
      <t>Industria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alimentación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101,102,106,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107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 108)</t>
    </r>
  </si>
  <si>
    <r>
      <t>Procesado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conservación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carne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elaboración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cárnicos</t>
    </r>
  </si>
  <si>
    <r>
      <t>Procesado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conservación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pescados,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crustáceos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moluscos</t>
    </r>
  </si>
  <si>
    <r>
      <t>Fabricación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molinería,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almidones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amiláceos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</si>
  <si>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panadería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pastas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alimenticias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</si>
  <si>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alimenticios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</si>
  <si>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bebidas</t>
    </r>
  </si>
  <si>
    <r>
      <t>Industria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tabaco</t>
    </r>
  </si>
  <si>
    <r>
      <t>Industria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textil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1391)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</si>
  <si>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tejidos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punto</t>
    </r>
  </si>
  <si>
    <r>
      <t>Confección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prendas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vestir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1411,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1420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 143)</t>
    </r>
  </si>
  <si>
    <r>
      <t>Confección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prendas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vestir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cuero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</si>
  <si>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artículos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peletería</t>
    </r>
  </si>
  <si>
    <r>
      <t>Confección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prendas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vestir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punto</t>
    </r>
  </si>
  <si>
    <r>
      <t>Industria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cuero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calzado</t>
    </r>
  </si>
  <si>
    <r>
      <t>Industria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madera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corcho,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excepto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muebles;cestería y espartería (Excepto 1624 y 1629)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</si>
  <si>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envases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embalajes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madera</t>
    </r>
  </si>
  <si>
    <r>
      <t>Fabricación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otros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madera;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artículos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corcho,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cestería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espartería</t>
    </r>
  </si>
  <si>
    <r>
      <t>Industria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papel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171)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</si>
  <si>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pasta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papelera,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papel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cartón</t>
    </r>
  </si>
  <si>
    <r>
      <t>Artes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gráficas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reproducción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soportes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grabados</t>
    </r>
  </si>
  <si>
    <r>
      <t>Coquerías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refino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petróleo</t>
    </r>
  </si>
  <si>
    <r>
      <t>Industria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química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204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206)</t>
    </r>
  </si>
  <si>
    <r>
      <t>Fabricación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jabones,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detergentes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otros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artículos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limpieza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abrillantamiento;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fabricación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perfumes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cosméticos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</si>
  <si>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fibras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artificiales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sintéticas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</si>
  <si>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farmacéuticos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</si>
  <si>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caucho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plástico</t>
    </r>
  </si>
  <si>
    <r>
      <t>Fabricación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otros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minerales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no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metálicos (Excepto 231, 232, 2331, 234 y 237)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</si>
  <si>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vidrio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vidrio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</si>
  <si>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cerámicos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refractarios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</si>
  <si>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azulejos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baldosas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cerámica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</si>
  <si>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cerámicos</t>
    </r>
  </si>
  <si>
    <r>
      <t>Corte,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tallado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acabado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piedra</t>
    </r>
  </si>
  <si>
    <r>
      <t>Metalurgia;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fabricación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hierro,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acero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ferroaleaciones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</si>
  <si>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metálicos,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maquinaria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equipo</t>
    </r>
  </si>
  <si>
    <r>
      <t>Fabricación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informáticos,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electrónicos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ópticos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</si>
  <si>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material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equipo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eléctrico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</si>
  <si>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maquinaria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equipo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n.c.o.p.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</si>
  <si>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vehículos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motor,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remolques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semirremolques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</si>
  <si>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otro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material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transporte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3091 y 3092)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</si>
  <si>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motocicletas</t>
    </r>
  </si>
  <si>
    <r>
      <t>Fabricación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bicicletas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vehículos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para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personas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discapacidad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</si>
  <si>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muebles</t>
    </r>
  </si>
  <si>
    <r>
      <t>Otra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industria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manufacturera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321,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322)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</si>
  <si>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artículos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joyería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artículos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similares</t>
    </r>
  </si>
  <si>
    <r>
      <t>Fabricación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instrumentos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musicales</t>
    </r>
  </si>
  <si>
    <r>
      <t>Reparación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instalación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maquinaria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equipo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 3313 y 3314)</t>
    </r>
  </si>
  <si>
    <r>
      <t>Reparación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equipos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electrónicos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ópticos</t>
    </r>
  </si>
  <si>
    <r>
      <t>Reparación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equipos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eléctricos</t>
    </r>
  </si>
  <si>
    <r>
      <t>Suministro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energía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eléctrica,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gas,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vapor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aire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acondicionado</t>
    </r>
  </si>
  <si>
    <r>
      <t>Captación,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depuración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distribución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agua</t>
    </r>
  </si>
  <si>
    <r>
      <t>Recogida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tratamiento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aguas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residuales</t>
    </r>
  </si>
  <si>
    <r>
      <t>Recogida,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tratamiento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eliminación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residuos; valoración</t>
    </r>
  </si>
  <si>
    <r>
      <t>Actividades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descontaminación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otros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 gestión de residuos</t>
    </r>
  </si>
  <si>
    <r>
      <t>Construcción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edificios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411)</t>
    </r>
  </si>
  <si>
    <r>
      <t>Promoción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inmobiliaria</t>
    </r>
  </si>
  <si>
    <r>
      <t>Ingeniería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civil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</si>
  <si>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construcción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especializada</t>
    </r>
  </si>
  <si>
    <r>
      <t>Venta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reparación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vehículos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motocicletas (Excepto 452 y 454)</t>
    </r>
  </si>
  <si>
    <r>
      <t>Mantenimiento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reparación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vehículos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motor</t>
    </r>
  </si>
  <si>
    <r>
      <t>Venta,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mantenimiento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reparación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motocicletas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sus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repuestos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accesorios</t>
    </r>
  </si>
  <si>
    <r>
      <t>Comercio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intermediarios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del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comercio,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vehículos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motocicletas.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Excepto:</t>
    </r>
  </si>
  <si>
    <r>
      <t>Comercio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animales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vivos</t>
    </r>
  </si>
  <si>
    <r>
      <t>Comercio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cueros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pieles</t>
    </r>
  </si>
  <si>
    <r>
      <t>Comercio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carne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cárnicos</t>
    </r>
  </si>
  <si>
    <r>
      <t>Comercio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pescados,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mariscos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otros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alimenticios</t>
    </r>
  </si>
  <si>
    <r>
      <t>Comercio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metales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minerales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metálicos</t>
    </r>
  </si>
  <si>
    <r>
      <t>Comercio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madera,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materiales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construcción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aparatos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sanitarios</t>
    </r>
  </si>
  <si>
    <r>
      <t>Comercio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ferretería,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fontanería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calefacción</t>
    </r>
  </si>
  <si>
    <r>
      <t>Comercio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chatarra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productos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desecho</t>
    </r>
  </si>
  <si>
    <r>
      <t>Comercio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mayor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especializado</t>
    </r>
  </si>
  <si>
    <r>
      <t>Comercio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menor,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vehículos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motocicletas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473)</t>
    </r>
  </si>
  <si>
    <r>
      <t>Comercio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menor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combustible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automoción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establecimientos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especializados</t>
    </r>
  </si>
  <si>
    <r>
      <t>Transporte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terrestre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tubería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494)</t>
    </r>
  </si>
  <si>
    <r>
      <t>Transporte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mercancías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carretera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mudanza</t>
    </r>
  </si>
  <si>
    <r>
      <t>Transporte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marítimo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vías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navegables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interiores</t>
    </r>
  </si>
  <si>
    <r>
      <t>Transporte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aéreo</t>
    </r>
  </si>
  <si>
    <r>
      <t>Almacenamiento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anexas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transporte (Excepto x, 5221)</t>
    </r>
  </si>
  <si>
    <t>x</t>
  </si>
  <si>
    <r>
      <t>Carga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descarga;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estiba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desestiba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</si>
  <si>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anexas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transporte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terrestre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</si>
  <si>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postales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correos</t>
    </r>
  </si>
  <si>
    <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alojamiento</t>
    </r>
  </si>
  <si>
    <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comidas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bebidas</t>
    </r>
  </si>
  <si>
    <t>Edición</t>
  </si>
  <si>
    <r>
      <t>Actividades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cinematográficas,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vídeo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programas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televisión,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grabación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sonido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edición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musical</t>
    </r>
  </si>
  <si>
    <r>
      <t>Actividades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programación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emisión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radio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 televisión</t>
    </r>
  </si>
  <si>
    <t>Telecomunicaciones</t>
  </si>
  <si>
    <r>
      <t>Programación,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consultoría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otras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relacionadas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informática</t>
    </r>
  </si>
  <si>
    <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información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6391)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</si>
  <si>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agencias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noticias</t>
    </r>
  </si>
  <si>
    <r>
      <t>Servicios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financieros,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excepto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seguros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fondos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pensiones</t>
    </r>
  </si>
  <si>
    <r>
      <t>Seguros,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reaseguros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fondos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pensiones,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excepto Seguridad Social obligatoria</t>
    </r>
  </si>
  <si>
    <r>
      <t>Actividades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auxiliares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los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financieros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seguros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</si>
  <si>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inmobiliarias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</si>
  <si>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jurídicas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contabilidad</t>
    </r>
  </si>
  <si>
    <r>
      <t>Actividades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las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sedes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centrales;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consultoría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gestión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empresarial</t>
    </r>
  </si>
  <si>
    <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técnicos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arquitectura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ingeniería;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ensayos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análisis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técnicos</t>
    </r>
  </si>
  <si>
    <r>
      <t>Investigación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desarrollo</t>
    </r>
  </si>
  <si>
    <r>
      <t>Publicidad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estudios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mercado</t>
    </r>
  </si>
  <si>
    <r>
      <t>Otras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profesionales,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científicas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técnicas (Excepto 742)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</si>
  <si>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fotografía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</si>
  <si>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veterinarias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</si>
  <si>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alquiler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</si>
  <si>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relacionadas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empleo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781)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</si>
  <si>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agencias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colocación</t>
    </r>
  </si>
  <si>
    <r>
      <t>Actividades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las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agencias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viajes,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operadores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turísticos,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reservas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relacionadas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mismos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</si>
  <si>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seguridad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investigación</t>
    </r>
  </si>
  <si>
    <r>
      <t>Servicios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edificios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jardinería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(Excepto 811)</t>
    </r>
  </si>
  <si>
    <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integrales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edificios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instalaciones</t>
    </r>
  </si>
  <si>
    <r>
      <t>Actividades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administrativas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oficina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otras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auxiliares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empresas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8220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8292)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</si>
  <si>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centros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llamadas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</si>
  <si>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envasado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empaquetado</t>
    </r>
  </si>
  <si>
    <r>
      <t>Administración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Pública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defensa;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Seguridad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Social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obligatoria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842)</t>
    </r>
  </si>
  <si>
    <r>
      <t>Prestación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comunidad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general</t>
    </r>
  </si>
  <si>
    <t>Educación</t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</si>
  <si>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sanitarias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869)</t>
    </r>
  </si>
  <si>
    <r>
      <t>Otras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sanitarias</t>
    </r>
  </si>
  <si>
    <r>
      <t>Asistencia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establecimientos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residenciales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</si>
  <si>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sociales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sin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alojamiento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</si>
  <si>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creación,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artísticas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espectáculos</t>
    </r>
  </si>
  <si>
    <r>
      <t>Actividades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bibliotecas,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archivos,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museos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otras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culturales.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9104)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</si>
  <si>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jardines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botánicos,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parques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zoológicos y reservas naturales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</si>
  <si>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juegos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azar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apuestas</t>
    </r>
  </si>
  <si>
    <r>
      <t>Actividades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deportivas,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recreativas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entretenimiento (Excepto u)</t>
    </r>
  </si>
  <si>
    <t>u</t>
  </si>
  <si>
    <r>
      <t>Espectáculos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taurinos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</si>
  <si>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asociativas</t>
    </r>
  </si>
  <si>
    <r>
      <t>Reparación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ordenadores,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efectos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personales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artículos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uso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doméstico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9524)</t>
    </r>
  </si>
  <si>
    <r>
      <t>Reparación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muebles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artículos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menaje</t>
    </r>
  </si>
  <si>
    <r>
      <t>Otros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personales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(Excepto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9602,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9603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9609)</t>
    </r>
  </si>
  <si>
    <r>
      <t>Peluquería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tratamientos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belleza</t>
    </r>
  </si>
  <si>
    <r>
      <t>Pompas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fúnebres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relacionadas</t>
    </r>
  </si>
  <si>
    <r>
      <t>Otros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servicios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personales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n.c.o.p.</t>
    </r>
  </si>
  <si>
    <r>
      <t>Actividades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los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hogares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como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empleadores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personal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doméstico</t>
    </r>
  </si>
  <si>
    <r>
      <t>Actividades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organizaciones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organismos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extraterritoriales</t>
    </r>
  </si>
  <si>
    <r>
      <t>Personal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trabajos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exclusivos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oficina.</t>
    </r>
  </si>
  <si>
    <t>b</t>
  </si>
  <si>
    <r>
      <t>Representantes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Comercio.</t>
    </r>
  </si>
  <si>
    <t>d</t>
  </si>
  <si>
    <r>
      <t>Personal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oficios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"/>
        <family val="2"/>
      </rPr>
      <t>instalaciones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reparaciones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edificios,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obras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trabajos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construcción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general.</t>
    </r>
  </si>
  <si>
    <t>f</t>
  </si>
  <si>
    <r>
      <t>Conductores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vehículo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automóvil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transporte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mercancías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que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tenga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una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capacidad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carga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útil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superior a 3,5 Tm.</t>
    </r>
  </si>
  <si>
    <t>g</t>
  </si>
  <si>
    <r>
      <t>Personal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limpieza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general.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Limpieza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edificios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todo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tipo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establecimientos.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Limpieza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calles.</t>
    </r>
  </si>
  <si>
    <t>h</t>
  </si>
  <si>
    <r>
      <t>Vigilantes,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guardas,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guardas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jurados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y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personal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Arial"/>
        <family val="2"/>
      </rP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seguridad.</t>
    </r>
  </si>
  <si>
    <t>INDEFINIDO TIEMPO COMPLETO</t>
  </si>
  <si>
    <t>INDEFINIDO TIEMPO PARCIAL</t>
  </si>
  <si>
    <t>FIJO DISCONTINUO</t>
  </si>
  <si>
    <t>EVENTUAL A TIEMPO COMPLETO</t>
  </si>
  <si>
    <t>TIPO CONTRATO</t>
  </si>
  <si>
    <r>
      <t>EN ESTA PAGINA NO DEBEIS DE TOCAR NADA, EN NOMINA 2016 LLENAR CASILLA DE (ANUAL =), SOLO EN AYUDA PONER EL NUMERO DE HIJOS.</t>
    </r>
    <r>
      <rPr>
        <b/>
        <sz val="12"/>
        <rFont val="Arial"/>
        <family val="2"/>
      </rPr>
      <t xml:space="preserve"> </t>
    </r>
  </si>
  <si>
    <t>INCENTIVOS</t>
  </si>
  <si>
    <t>DIAS DE</t>
  </si>
  <si>
    <t>DIAS INDEMNIZACION A CARGO DE</t>
  </si>
  <si>
    <t xml:space="preserve">INDEMNIZACION A PERCIBIR POR EL </t>
  </si>
  <si>
    <t>BAJA</t>
  </si>
  <si>
    <t>LA SEGURIDAD SOCIAL</t>
  </si>
  <si>
    <t>TRABAJADOR DURANTE LA I.T.</t>
  </si>
  <si>
    <t xml:space="preserve"> </t>
  </si>
  <si>
    <t>AL 60%</t>
  </si>
  <si>
    <t>AL 75%</t>
  </si>
  <si>
    <t>BASE DIARIA</t>
  </si>
  <si>
    <t>TOTAL A</t>
  </si>
  <si>
    <t>REGULADORA</t>
  </si>
  <si>
    <t>INDEMNIZACION</t>
  </si>
  <si>
    <t>DIAS</t>
  </si>
  <si>
    <t>PERCIBIR</t>
  </si>
  <si>
    <t>T O T A L E S</t>
  </si>
  <si>
    <t>BASE REGULADORA MES ANTERIOR SEG.SOCIAL</t>
  </si>
  <si>
    <t>BASE REGULADORA MES ANTERIOR ACC.TRABAJO</t>
  </si>
  <si>
    <t>BASE COTIZACION
MES ANTERIOR</t>
  </si>
  <si>
    <t>DIAS 
MES</t>
  </si>
  <si>
    <t>BASE DIARIA
REGULADORA</t>
  </si>
  <si>
    <t>COTIZACION SEG.SOCIAL DURANTE PERIODO DE IT</t>
  </si>
  <si>
    <t>COTIZACION A ACC.TRABAJO DURANTE PERIODO IT</t>
  </si>
  <si>
    <t>DIAS DE 
BAJA</t>
  </si>
  <si>
    <t>TOTAL
COTIZACION</t>
  </si>
  <si>
    <t>1-2-3-   -4-5-6-7-8-9-10-11-12-13-14-15-   -16-17-18-19-20-   -21 HASTA EL FIN DE LA I.T.-</t>
  </si>
  <si>
    <t>AL</t>
  </si>
  <si>
    <t>SIN INDEMNIZACION</t>
  </si>
  <si>
    <t>A CARGO DE LA EMPRESA EL 60% DE LA B.R. DEL MES ANTERIOR A LA FECHA DE LA BAJA</t>
  </si>
  <si>
    <t>A CARGO DE LA S.S. EL 60% DE LA B.R. DEL MES ANTERIOR A LA FECHA DE LA BAJA</t>
  </si>
  <si>
    <t>A</t>
  </si>
  <si>
    <t>FIN</t>
  </si>
  <si>
    <t>A CARGO DE LA S.S. EL 75% DE LA B.R. DEL MES ANTERIOR A LA FECHA DE LA BAJA</t>
  </si>
  <si>
    <t>ANEXO AL CASO PRACTICO     DE I.T. DE ENFERMEDAD</t>
  </si>
  <si>
    <t xml:space="preserve">MODELO PARA EL CALCULO DE LA I.T. DERIVADA DE </t>
  </si>
  <si>
    <t>ENFERMEDAD COMUN O ACCIDENTE NO LABORAL</t>
  </si>
  <si>
    <t>DIAS DE BAJA A</t>
  </si>
  <si>
    <t>CARGO DE LA</t>
  </si>
  <si>
    <t>DIAS DEL PERIODO</t>
  </si>
  <si>
    <t>SOBRE B.R. MES</t>
  </si>
  <si>
    <t>IMPORTE A PERCIBIR POR EL</t>
  </si>
  <si>
    <t>ANTERIOR A LA BAJA</t>
  </si>
  <si>
    <t>PARA SEGURIDAD SOCIAL</t>
  </si>
  <si>
    <t>DIAS TOTALES DE BAJA</t>
  </si>
  <si>
    <t>IMPORTE TOTAL DE LAS HORAS EXTRAS DE LOS 12 MESES ANTERIORES A LA BAJA</t>
  </si>
  <si>
    <t>MENSUAL</t>
  </si>
  <si>
    <t>Dias del mes</t>
  </si>
  <si>
    <t>08-0000000000</t>
  </si>
  <si>
    <t>DIARIOS</t>
  </si>
  <si>
    <t>Dias trabajados</t>
  </si>
  <si>
    <t>salario base</t>
  </si>
  <si>
    <t>antigüedad</t>
  </si>
  <si>
    <t>=</t>
  </si>
  <si>
    <t>comp.mensual 1</t>
  </si>
  <si>
    <t>comp.mensual 2</t>
  </si>
  <si>
    <t>comp.mensual 3</t>
  </si>
  <si>
    <t>comp.diario 1</t>
  </si>
  <si>
    <t>comp.diario 2</t>
  </si>
  <si>
    <t>TOT. DÍAS AÑO</t>
  </si>
  <si>
    <t>12 FIESTAS NAC.</t>
  </si>
  <si>
    <t>2 FIESTAS LOCALES</t>
  </si>
  <si>
    <t>VACACIONES</t>
  </si>
  <si>
    <t>DOMINGOS</t>
  </si>
  <si>
    <t>SÁBADOS</t>
  </si>
  <si>
    <t>DIAS LABORALES ANUALES</t>
  </si>
  <si>
    <t xml:space="preserve">CÁLCULO SALARIO ANUAL </t>
  </si>
  <si>
    <t>Trabaja sábados</t>
  </si>
  <si>
    <t>NO VAC</t>
  </si>
  <si>
    <t>COMPL</t>
  </si>
  <si>
    <t>Imp. remuneración mensual</t>
  </si>
  <si>
    <t>Imp, prorrata pagas extras</t>
  </si>
  <si>
    <t>días</t>
  </si>
  <si>
    <t xml:space="preserve">CÀLCUL DE IT DERIVADA D'ACCIDENTS DE TREBALL </t>
  </si>
  <si>
    <t>O ENFERMETAT PROFESSIONAL</t>
  </si>
  <si>
    <t>Accdtes.: Cotizació 12 mesos anteriors</t>
  </si>
  <si>
    <t>BASE COTIZACIÓ
MES ANTERIOR</t>
  </si>
  <si>
    <t>DIAS
COTIZACIÓ</t>
  </si>
  <si>
    <t>BASE 
"A"</t>
  </si>
  <si>
    <t>HORES
EXTRES</t>
  </si>
  <si>
    <t>DIVISOR</t>
  </si>
  <si>
    <t>BASE 
"B"</t>
  </si>
  <si>
    <t>CÀLCUL DEL SUBSIDI DIARI</t>
  </si>
  <si>
    <t>PROMIG DIARI</t>
  </si>
  <si>
    <t>TOTAL BASE 
REGULADORA</t>
  </si>
  <si>
    <t>SUBSIDI
75%</t>
  </si>
  <si>
    <t>BASE "A"</t>
  </si>
  <si>
    <t>BASE "B"</t>
  </si>
  <si>
    <t>DIES 
BAIXA</t>
  </si>
  <si>
    <t>TOTAL PAGO 
MUTUA</t>
  </si>
  <si>
    <t>BASE REGULADORA MES ANTERIOR PER S.SOCIAL</t>
  </si>
  <si>
    <t>B. REGULADORA MES ANTERIOR PER ACC.TREBALL</t>
  </si>
  <si>
    <t>DIES 
MES</t>
  </si>
  <si>
    <t>COTIZACIÓ S.SOCIAL DURANT PERIODE DE IT</t>
  </si>
  <si>
    <t>COTIZACIÓ A ACC. TREBALL DURANT IT</t>
  </si>
  <si>
    <t>DIES DE 
BAIXA</t>
  </si>
  <si>
    <t>TOTAL
COTIZACIÓ</t>
  </si>
  <si>
    <t>MESES</t>
  </si>
  <si>
    <t>HORAS EXTRAS</t>
  </si>
  <si>
    <t>360-365</t>
  </si>
  <si>
    <t>COMPL.</t>
  </si>
  <si>
    <t>Imp. prorrata pagas extras</t>
  </si>
  <si>
    <t>DÍAS</t>
  </si>
  <si>
    <t>MES DE PAGO</t>
  </si>
  <si>
    <t>AÑO</t>
  </si>
  <si>
    <t>DIAS DEL MES</t>
  </si>
  <si>
    <t>INDEFINIDO 100</t>
  </si>
  <si>
    <t>BAJA DEL 2 AL 26 DE FEBRERO 2016</t>
  </si>
  <si>
    <t>DEL 5 AL 16</t>
  </si>
  <si>
    <t xml:space="preserve"> DEL 17 AL 21</t>
  </si>
  <si>
    <t xml:space="preserve"> DEL 22 AL 26</t>
  </si>
  <si>
    <t>JEFE MANTENIMIENTO</t>
  </si>
  <si>
    <t>MAYO</t>
  </si>
  <si>
    <t>CASO PRACTICO 7 NORMAL</t>
  </si>
  <si>
    <t>PLUS PUNTUALIDAD</t>
  </si>
  <si>
    <t>20 HORAS X 7,88 =</t>
  </si>
  <si>
    <t>DIETAS</t>
  </si>
  <si>
    <t>BAJA DEL 7 AL 21 JUNIO 2016</t>
  </si>
  <si>
    <t>CASO PRÁCTICO 7 IT ACCIDENTE TRABAJO</t>
  </si>
  <si>
    <t>DIAS DE ALTA=16</t>
  </si>
  <si>
    <t>CASO PRÁCTICO 7 IT ACCIDENTE TRAB.</t>
  </si>
  <si>
    <t>TOTAL DIAS DE BAJA</t>
  </si>
  <si>
    <t>TOTAL DIAS RESTO MES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</si>
</sst>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%"/>
    <numFmt numFmtId="166" formatCode="_-* #,##0.00\ [$€-1]_-;\-* #,##0.00\ [$€-1]_-;_-* &quot;-&quot;??\ [$€-1]_-"/>
    <numFmt numFmtId="167" formatCode="_-* #,##0.00\ _p_t_a_-;\-* #,##0.00\ _p_t_a_-;_-* &quot;-&quot;??\ _p_t_a_-;_-@_-"/>
    <numFmt numFmtId="168" formatCode="0.00000"/>
    <numFmt numFmtId="169" formatCode="0.0000"/>
    <numFmt numFmtId="170" formatCode="0.000"/>
    <numFmt numFmtId="171" formatCode="0.0"/>
    <numFmt numFmtId="172" formatCode="_-* #,##0.00\ [$€-1]_-;\-* #,##0.00\ [$€-1]_-;_-* &quot;-&quot;??\ [$€-1]_-;_-@_-"/>
    <numFmt numFmtId="173" formatCode="#,##0.00_ ;\-#,##0.00\ "/>
    <numFmt numFmtId="174" formatCode="_-* #,##0\ _p_t_a_-;\-* #,##0\ _p_t_a_-;_-* &quot;-&quot;??\ _p_t_a_-;_-@_-"/>
    <numFmt numFmtId="175" formatCode="_-* #,##0\ _€_-;\-* #,##0\ _€_-;_-* &quot;-&quot;??\ _€_-;_-@_-"/>
    <numFmt numFmtId="176" formatCode="[$-C0A]dddd\,\ d&quot; de &quot;mmmm&quot; de &quot;yyyy"/>
    <numFmt numFmtId="177" formatCode="[$-C0A]mmm\-yy;@"/>
    <numFmt numFmtId="178" formatCode="[$-C0A]mmmm\-yy;@"/>
    <numFmt numFmtId="179" formatCode="mmm\-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48"/>
      <name val="Arial"/>
      <family val="2"/>
    </font>
    <font>
      <b/>
      <i/>
      <u val="single"/>
      <sz val="16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sz val="6.5"/>
      <name val="Bookman Old Style"/>
      <family val="1"/>
    </font>
    <font>
      <b/>
      <sz val="12"/>
      <name val="Bookman Old Style"/>
      <family val="1"/>
    </font>
    <font>
      <sz val="8"/>
      <color indexed="9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7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u val="single"/>
      <sz val="18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24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sz val="11"/>
      <name val="Bookman Old Style"/>
      <family val="1"/>
    </font>
    <font>
      <u val="single"/>
      <sz val="10"/>
      <name val="Bookman Old Style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/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 style="medium"/>
      <top style="medium"/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dashed"/>
    </border>
    <border>
      <left/>
      <right/>
      <top/>
      <bottom style="thin"/>
    </border>
    <border>
      <left/>
      <right/>
      <top style="dashed"/>
      <bottom style="dashed"/>
    </border>
    <border>
      <left/>
      <right/>
      <top style="thin"/>
      <bottom style="thin"/>
    </border>
    <border>
      <left style="thick"/>
      <right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n"/>
      <bottom/>
    </border>
    <border>
      <left style="thick"/>
      <right/>
      <top/>
      <bottom style="medium"/>
    </border>
    <border>
      <left style="thin"/>
      <right/>
      <top style="medium"/>
      <bottom style="medium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dotted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 diagonalUp="1" diagonalDown="1">
      <left style="thin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/>
      <bottom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47" fillId="16" borderId="1" applyNumberFormat="0" applyAlignment="0" applyProtection="0"/>
    <xf numFmtId="0" fontId="48" fillId="1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1" fillId="7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82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0" fontId="5" fillId="0" borderId="0" xfId="0" applyNumberFormat="1" applyFont="1" applyBorder="1" applyAlignment="1">
      <alignment horizontal="center"/>
    </xf>
    <xf numFmtId="1" fontId="9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0" fillId="7" borderId="0" xfId="0" applyFill="1" applyAlignment="1">
      <alignment/>
    </xf>
    <xf numFmtId="164" fontId="0" fillId="0" borderId="10" xfId="0" applyNumberFormat="1" applyBorder="1" applyAlignment="1">
      <alignment/>
    </xf>
    <xf numFmtId="10" fontId="7" fillId="22" borderId="11" xfId="0" applyNumberFormat="1" applyFont="1" applyFill="1" applyBorder="1" applyAlignment="1">
      <alignment horizontal="center"/>
    </xf>
    <xf numFmtId="164" fontId="7" fillId="22" borderId="12" xfId="0" applyNumberFormat="1" applyFont="1" applyFill="1" applyBorder="1" applyAlignment="1">
      <alignment horizontal="center"/>
    </xf>
    <xf numFmtId="164" fontId="7" fillId="22" borderId="13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0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3" fillId="7" borderId="12" xfId="0" applyNumberFormat="1" applyFont="1" applyFill="1" applyBorder="1" applyAlignment="1">
      <alignment/>
    </xf>
    <xf numFmtId="164" fontId="3" fillId="7" borderId="22" xfId="0" applyNumberFormat="1" applyFont="1" applyFill="1" applyBorder="1" applyAlignment="1">
      <alignment/>
    </xf>
    <xf numFmtId="164" fontId="10" fillId="0" borderId="23" xfId="0" applyNumberFormat="1" applyFont="1" applyBorder="1" applyAlignment="1">
      <alignment horizontal="center"/>
    </xf>
    <xf numFmtId="164" fontId="0" fillId="0" borderId="23" xfId="0" applyNumberFormat="1" applyBorder="1" applyAlignment="1">
      <alignment/>
    </xf>
    <xf numFmtId="10" fontId="10" fillId="0" borderId="23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24" xfId="0" applyBorder="1" applyAlignment="1">
      <alignment wrapText="1"/>
    </xf>
    <xf numFmtId="2" fontId="0" fillId="0" borderId="33" xfId="0" applyNumberFormat="1" applyBorder="1" applyAlignment="1">
      <alignment/>
    </xf>
    <xf numFmtId="0" fontId="0" fillId="0" borderId="34" xfId="0" applyBorder="1" applyAlignment="1">
      <alignment wrapText="1"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22" xfId="0" applyBorder="1" applyAlignment="1">
      <alignment wrapText="1"/>
    </xf>
    <xf numFmtId="0" fontId="8" fillId="0" borderId="23" xfId="0" applyFont="1" applyBorder="1" applyAlignment="1">
      <alignment horizontal="center"/>
    </xf>
    <xf numFmtId="164" fontId="10" fillId="7" borderId="1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8" fillId="0" borderId="38" xfId="0" applyFont="1" applyBorder="1" applyAlignment="1">
      <alignment horizontal="center"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7" borderId="0" xfId="0" applyFill="1" applyAlignment="1">
      <alignment horizontal="center"/>
    </xf>
    <xf numFmtId="0" fontId="7" fillId="22" borderId="13" xfId="0" applyNumberFormat="1" applyFont="1" applyFill="1" applyBorder="1" applyAlignment="1">
      <alignment horizontal="center"/>
    </xf>
    <xf numFmtId="0" fontId="7" fillId="22" borderId="17" xfId="0" applyNumberFormat="1" applyFont="1" applyFill="1" applyBorder="1" applyAlignment="1">
      <alignment horizontal="center"/>
    </xf>
    <xf numFmtId="164" fontId="7" fillId="22" borderId="19" xfId="0" applyNumberFormat="1" applyFont="1" applyFill="1" applyBorder="1" applyAlignment="1">
      <alignment horizontal="center"/>
    </xf>
    <xf numFmtId="164" fontId="7" fillId="22" borderId="15" xfId="0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/>
    </xf>
    <xf numFmtId="164" fontId="4" fillId="0" borderId="20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164" fontId="7" fillId="22" borderId="17" xfId="0" applyNumberFormat="1" applyFont="1" applyFill="1" applyBorder="1" applyAlignment="1">
      <alignment horizontal="center"/>
    </xf>
    <xf numFmtId="10" fontId="8" fillId="0" borderId="29" xfId="0" applyNumberFormat="1" applyFont="1" applyBorder="1" applyAlignment="1">
      <alignment horizontal="center"/>
    </xf>
    <xf numFmtId="10" fontId="10" fillId="0" borderId="33" xfId="0" applyNumberFormat="1" applyFont="1" applyBorder="1" applyAlignment="1">
      <alignment horizontal="center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1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1" fontId="0" fillId="7" borderId="0" xfId="0" applyNumberFormat="1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10" fontId="10" fillId="0" borderId="42" xfId="0" applyNumberFormat="1" applyFont="1" applyBorder="1" applyAlignment="1">
      <alignment horizontal="center"/>
    </xf>
    <xf numFmtId="0" fontId="0" fillId="7" borderId="0" xfId="0" applyFont="1" applyFill="1" applyAlignment="1">
      <alignment vertical="center"/>
    </xf>
    <xf numFmtId="164" fontId="0" fillId="0" borderId="21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8" fillId="0" borderId="45" xfId="0" applyNumberFormat="1" applyFont="1" applyBorder="1" applyAlignment="1">
      <alignment horizontal="center"/>
    </xf>
    <xf numFmtId="164" fontId="8" fillId="0" borderId="46" xfId="0" applyNumberFormat="1" applyFont="1" applyBorder="1" applyAlignment="1">
      <alignment horizontal="center"/>
    </xf>
    <xf numFmtId="0" fontId="12" fillId="0" borderId="47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48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4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9" xfId="0" applyFont="1" applyBorder="1" applyAlignment="1">
      <alignment/>
    </xf>
    <xf numFmtId="0" fontId="14" fillId="0" borderId="4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49" xfId="0" applyFont="1" applyBorder="1" applyAlignment="1">
      <alignment/>
    </xf>
    <xf numFmtId="0" fontId="17" fillId="0" borderId="50" xfId="0" applyFont="1" applyBorder="1" applyAlignment="1">
      <alignment horizontal="center" wrapText="1"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4" fillId="0" borderId="53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54" xfId="0" applyFont="1" applyBorder="1" applyAlignment="1">
      <alignment/>
    </xf>
    <xf numFmtId="4" fontId="15" fillId="0" borderId="55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5" fillId="0" borderId="56" xfId="0" applyFont="1" applyBorder="1" applyAlignment="1">
      <alignment/>
    </xf>
    <xf numFmtId="4" fontId="15" fillId="25" borderId="57" xfId="0" applyNumberFormat="1" applyFont="1" applyFill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54" xfId="0" applyFont="1" applyBorder="1" applyAlignment="1">
      <alignment/>
    </xf>
    <xf numFmtId="0" fontId="13" fillId="0" borderId="56" xfId="0" applyFont="1" applyBorder="1" applyAlignment="1">
      <alignment/>
    </xf>
    <xf numFmtId="3" fontId="15" fillId="25" borderId="57" xfId="0" applyNumberFormat="1" applyFont="1" applyFill="1" applyBorder="1" applyAlignment="1">
      <alignment/>
    </xf>
    <xf numFmtId="0" fontId="14" fillId="0" borderId="49" xfId="0" applyFont="1" applyBorder="1" applyAlignment="1">
      <alignment/>
    </xf>
    <xf numFmtId="2" fontId="15" fillId="0" borderId="21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4" fontId="16" fillId="0" borderId="49" xfId="0" applyNumberFormat="1" applyFont="1" applyBorder="1" applyAlignment="1">
      <alignment/>
    </xf>
    <xf numFmtId="0" fontId="14" fillId="25" borderId="58" xfId="0" applyFont="1" applyFill="1" applyBorder="1" applyAlignment="1">
      <alignment/>
    </xf>
    <xf numFmtId="0" fontId="13" fillId="25" borderId="55" xfId="0" applyFont="1" applyFill="1" applyBorder="1" applyAlignment="1">
      <alignment/>
    </xf>
    <xf numFmtId="0" fontId="14" fillId="25" borderId="55" xfId="0" applyFont="1" applyFill="1" applyBorder="1" applyAlignment="1">
      <alignment/>
    </xf>
    <xf numFmtId="0" fontId="14" fillId="25" borderId="54" xfId="0" applyFont="1" applyFill="1" applyBorder="1" applyAlignment="1">
      <alignment/>
    </xf>
    <xf numFmtId="3" fontId="15" fillId="0" borderId="55" xfId="0" applyNumberFormat="1" applyFont="1" applyFill="1" applyBorder="1" applyAlignment="1">
      <alignment/>
    </xf>
    <xf numFmtId="2" fontId="15" fillId="0" borderId="48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/>
    </xf>
    <xf numFmtId="4" fontId="15" fillId="25" borderId="0" xfId="0" applyNumberFormat="1" applyFont="1" applyFill="1" applyBorder="1" applyAlignment="1">
      <alignment/>
    </xf>
    <xf numFmtId="0" fontId="15" fillId="25" borderId="0" xfId="0" applyFont="1" applyFill="1" applyBorder="1" applyAlignment="1">
      <alignment/>
    </xf>
    <xf numFmtId="4" fontId="15" fillId="25" borderId="55" xfId="0" applyNumberFormat="1" applyFont="1" applyFill="1" applyBorder="1" applyAlignment="1">
      <alignment/>
    </xf>
    <xf numFmtId="0" fontId="16" fillId="0" borderId="54" xfId="0" applyFont="1" applyBorder="1" applyAlignment="1">
      <alignment/>
    </xf>
    <xf numFmtId="0" fontId="18" fillId="0" borderId="54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6" fillId="0" borderId="49" xfId="0" applyFont="1" applyBorder="1" applyAlignment="1">
      <alignment/>
    </xf>
    <xf numFmtId="0" fontId="12" fillId="0" borderId="49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15" fillId="25" borderId="21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59" xfId="0" applyFont="1" applyBorder="1" applyAlignment="1">
      <alignment/>
    </xf>
    <xf numFmtId="0" fontId="13" fillId="0" borderId="60" xfId="0" applyFont="1" applyBorder="1" applyAlignment="1">
      <alignment/>
    </xf>
    <xf numFmtId="0" fontId="14" fillId="0" borderId="60" xfId="0" applyFont="1" applyBorder="1" applyAlignment="1">
      <alignment/>
    </xf>
    <xf numFmtId="0" fontId="13" fillId="0" borderId="61" xfId="0" applyFont="1" applyBorder="1" applyAlignment="1">
      <alignment/>
    </xf>
    <xf numFmtId="0" fontId="20" fillId="0" borderId="47" xfId="0" applyFont="1" applyBorder="1" applyAlignment="1">
      <alignment/>
    </xf>
    <xf numFmtId="0" fontId="21" fillId="0" borderId="62" xfId="0" applyFont="1" applyBorder="1" applyAlignment="1">
      <alignment/>
    </xf>
    <xf numFmtId="0" fontId="20" fillId="0" borderId="62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63" xfId="0" applyFont="1" applyBorder="1" applyAlignment="1">
      <alignment/>
    </xf>
    <xf numFmtId="2" fontId="15" fillId="0" borderId="64" xfId="0" applyNumberFormat="1" applyFont="1" applyBorder="1" applyAlignment="1">
      <alignment horizontal="right"/>
    </xf>
    <xf numFmtId="4" fontId="15" fillId="25" borderId="21" xfId="48" applyNumberFormat="1" applyFont="1" applyFill="1" applyBorder="1" applyAlignment="1">
      <alignment/>
    </xf>
    <xf numFmtId="2" fontId="15" fillId="0" borderId="64" xfId="0" applyNumberFormat="1" applyFont="1" applyBorder="1" applyAlignment="1">
      <alignment/>
    </xf>
    <xf numFmtId="2" fontId="15" fillId="0" borderId="21" xfId="48" applyNumberFormat="1" applyFont="1" applyBorder="1" applyAlignment="1">
      <alignment/>
    </xf>
    <xf numFmtId="4" fontId="15" fillId="25" borderId="63" xfId="0" applyNumberFormat="1" applyFont="1" applyFill="1" applyBorder="1" applyAlignment="1">
      <alignment/>
    </xf>
    <xf numFmtId="0" fontId="13" fillId="0" borderId="48" xfId="0" applyFont="1" applyBorder="1" applyAlignment="1">
      <alignment/>
    </xf>
    <xf numFmtId="0" fontId="2" fillId="0" borderId="60" xfId="0" applyFont="1" applyBorder="1" applyAlignment="1">
      <alignment/>
    </xf>
    <xf numFmtId="4" fontId="15" fillId="0" borderId="6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66" xfId="0" applyFont="1" applyBorder="1" applyAlignment="1">
      <alignment horizontal="center"/>
    </xf>
    <xf numFmtId="0" fontId="21" fillId="0" borderId="67" xfId="0" applyFont="1" applyBorder="1" applyAlignment="1">
      <alignment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4" fontId="15" fillId="16" borderId="21" xfId="0" applyNumberFormat="1" applyFont="1" applyFill="1" applyBorder="1" applyAlignment="1">
      <alignment/>
    </xf>
    <xf numFmtId="4" fontId="15" fillId="16" borderId="32" xfId="0" applyNumberFormat="1" applyFont="1" applyFill="1" applyBorder="1" applyAlignment="1">
      <alignment/>
    </xf>
    <xf numFmtId="10" fontId="15" fillId="0" borderId="21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2" fontId="15" fillId="0" borderId="21" xfId="0" applyNumberFormat="1" applyFont="1" applyBorder="1" applyAlignment="1">
      <alignment horizontal="right"/>
    </xf>
    <xf numFmtId="0" fontId="21" fillId="0" borderId="48" xfId="0" applyFont="1" applyBorder="1" applyAlignment="1">
      <alignment/>
    </xf>
    <xf numFmtId="0" fontId="15" fillId="0" borderId="64" xfId="0" applyFont="1" applyBorder="1" applyAlignment="1">
      <alignment/>
    </xf>
    <xf numFmtId="0" fontId="14" fillId="0" borderId="68" xfId="0" applyFont="1" applyBorder="1" applyAlignment="1">
      <alignment/>
    </xf>
    <xf numFmtId="0" fontId="22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14" fillId="16" borderId="58" xfId="0" applyFont="1" applyFill="1" applyBorder="1" applyAlignment="1">
      <alignment/>
    </xf>
    <xf numFmtId="0" fontId="14" fillId="0" borderId="58" xfId="0" applyFont="1" applyBorder="1" applyAlignment="1">
      <alignment/>
    </xf>
    <xf numFmtId="0" fontId="13" fillId="0" borderId="55" xfId="0" applyFont="1" applyBorder="1" applyAlignment="1">
      <alignment/>
    </xf>
    <xf numFmtId="0" fontId="14" fillId="0" borderId="55" xfId="0" applyFont="1" applyBorder="1" applyAlignment="1">
      <alignment/>
    </xf>
    <xf numFmtId="0" fontId="13" fillId="16" borderId="55" xfId="0" applyFont="1" applyFill="1" applyBorder="1" applyAlignment="1">
      <alignment/>
    </xf>
    <xf numFmtId="0" fontId="14" fillId="16" borderId="55" xfId="0" applyFont="1" applyFill="1" applyBorder="1" applyAlignment="1">
      <alignment/>
    </xf>
    <xf numFmtId="0" fontId="14" fillId="0" borderId="69" xfId="0" applyFont="1" applyBorder="1" applyAlignment="1">
      <alignment/>
    </xf>
    <xf numFmtId="0" fontId="16" fillId="0" borderId="70" xfId="0" applyFont="1" applyBorder="1" applyAlignment="1">
      <alignment/>
    </xf>
    <xf numFmtId="0" fontId="12" fillId="0" borderId="70" xfId="0" applyFont="1" applyBorder="1" applyAlignment="1">
      <alignment/>
    </xf>
    <xf numFmtId="2" fontId="18" fillId="0" borderId="70" xfId="0" applyNumberFormat="1" applyFont="1" applyBorder="1" applyAlignment="1">
      <alignment/>
    </xf>
    <xf numFmtId="0" fontId="18" fillId="0" borderId="31" xfId="0" applyFont="1" applyBorder="1" applyAlignment="1">
      <alignment/>
    </xf>
    <xf numFmtId="10" fontId="15" fillId="0" borderId="0" xfId="0" applyNumberFormat="1" applyFont="1" applyBorder="1" applyAlignment="1" applyProtection="1">
      <alignment/>
      <protection locked="0"/>
    </xf>
    <xf numFmtId="0" fontId="18" fillId="0" borderId="49" xfId="0" applyFont="1" applyBorder="1" applyAlignment="1">
      <alignment/>
    </xf>
    <xf numFmtId="4" fontId="18" fillId="25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0" fontId="12" fillId="0" borderId="49" xfId="0" applyFont="1" applyBorder="1" applyAlignment="1">
      <alignment horizontal="center"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4" fillId="0" borderId="0" xfId="45" applyNumberFormat="1" applyFont="1" applyAlignment="1">
      <alignment/>
    </xf>
    <xf numFmtId="10" fontId="18" fillId="0" borderId="21" xfId="0" applyNumberFormat="1" applyFont="1" applyBorder="1" applyAlignment="1">
      <alignment horizontal="center"/>
    </xf>
    <xf numFmtId="10" fontId="18" fillId="0" borderId="71" xfId="0" applyNumberFormat="1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75" xfId="0" applyNumberFormat="1" applyFont="1" applyBorder="1" applyAlignment="1">
      <alignment/>
    </xf>
    <xf numFmtId="4" fontId="15" fillId="16" borderId="23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3" fillId="25" borderId="76" xfId="0" applyFont="1" applyFill="1" applyBorder="1" applyAlignment="1">
      <alignment vertical="center" wrapText="1"/>
    </xf>
    <xf numFmtId="0" fontId="30" fillId="25" borderId="77" xfId="0" applyFont="1" applyFill="1" applyBorder="1" applyAlignment="1">
      <alignment vertical="center" wrapText="1"/>
    </xf>
    <xf numFmtId="0" fontId="31" fillId="25" borderId="78" xfId="0" applyFont="1" applyFill="1" applyBorder="1" applyAlignment="1">
      <alignment horizontal="center" vertical="center" wrapText="1"/>
    </xf>
    <xf numFmtId="0" fontId="31" fillId="25" borderId="77" xfId="0" applyFont="1" applyFill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31" fillId="25" borderId="79" xfId="0" applyFont="1" applyFill="1" applyBorder="1" applyAlignment="1">
      <alignment horizontal="center" vertical="center" wrapText="1"/>
    </xf>
    <xf numFmtId="0" fontId="31" fillId="25" borderId="80" xfId="0" applyFont="1" applyFill="1" applyBorder="1" applyAlignment="1">
      <alignment vertical="center" wrapText="1"/>
    </xf>
    <xf numFmtId="0" fontId="31" fillId="25" borderId="77" xfId="0" applyFont="1" applyFill="1" applyBorder="1" applyAlignment="1">
      <alignment horizontal="justify" vertical="center" wrapText="1"/>
    </xf>
    <xf numFmtId="0" fontId="31" fillId="25" borderId="79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0" fillId="0" borderId="60" xfId="0" applyFont="1" applyBorder="1" applyAlignment="1">
      <alignment/>
    </xf>
    <xf numFmtId="0" fontId="0" fillId="0" borderId="81" xfId="0" applyFont="1" applyBorder="1" applyAlignment="1">
      <alignment/>
    </xf>
    <xf numFmtId="4" fontId="15" fillId="16" borderId="11" xfId="0" applyNumberFormat="1" applyFont="1" applyFill="1" applyBorder="1" applyAlignment="1">
      <alignment horizontal="center"/>
    </xf>
    <xf numFmtId="0" fontId="3" fillId="4" borderId="82" xfId="0" applyFont="1" applyFill="1" applyBorder="1" applyAlignment="1">
      <alignment/>
    </xf>
    <xf numFmtId="0" fontId="3" fillId="4" borderId="83" xfId="0" applyFont="1" applyFill="1" applyBorder="1" applyAlignment="1">
      <alignment/>
    </xf>
    <xf numFmtId="0" fontId="3" fillId="4" borderId="84" xfId="0" applyFont="1" applyFill="1" applyBorder="1" applyAlignment="1">
      <alignment/>
    </xf>
    <xf numFmtId="0" fontId="3" fillId="4" borderId="85" xfId="0" applyFont="1" applyFill="1" applyBorder="1" applyAlignment="1">
      <alignment/>
    </xf>
    <xf numFmtId="0" fontId="0" fillId="4" borderId="82" xfId="0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5" xfId="0" applyFill="1" applyBorder="1" applyAlignment="1">
      <alignment/>
    </xf>
    <xf numFmtId="0" fontId="3" fillId="4" borderId="25" xfId="0" applyFont="1" applyFill="1" applyBorder="1" applyAlignment="1">
      <alignment/>
    </xf>
    <xf numFmtId="0" fontId="3" fillId="4" borderId="71" xfId="0" applyFont="1" applyFill="1" applyBorder="1" applyAlignment="1">
      <alignment/>
    </xf>
    <xf numFmtId="0" fontId="3" fillId="4" borderId="86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71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87" xfId="0" applyFill="1" applyBorder="1" applyAlignment="1">
      <alignment/>
    </xf>
    <xf numFmtId="0" fontId="3" fillId="4" borderId="88" xfId="0" applyFont="1" applyFill="1" applyBorder="1" applyAlignment="1">
      <alignment/>
    </xf>
    <xf numFmtId="0" fontId="0" fillId="4" borderId="88" xfId="0" applyFill="1" applyBorder="1" applyAlignment="1">
      <alignment/>
    </xf>
    <xf numFmtId="0" fontId="0" fillId="4" borderId="89" xfId="0" applyFill="1" applyBorder="1" applyAlignment="1">
      <alignment/>
    </xf>
    <xf numFmtId="0" fontId="0" fillId="4" borderId="90" xfId="0" applyFill="1" applyBorder="1" applyAlignment="1">
      <alignment/>
    </xf>
    <xf numFmtId="0" fontId="3" fillId="4" borderId="91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92" xfId="0" applyFont="1" applyFill="1" applyBorder="1" applyAlignment="1">
      <alignment/>
    </xf>
    <xf numFmtId="0" fontId="3" fillId="4" borderId="68" xfId="0" applyFont="1" applyFill="1" applyBorder="1" applyAlignment="1">
      <alignment/>
    </xf>
    <xf numFmtId="0" fontId="3" fillId="4" borderId="26" xfId="0" applyFont="1" applyFill="1" applyBorder="1" applyAlignment="1">
      <alignment/>
    </xf>
    <xf numFmtId="0" fontId="0" fillId="4" borderId="93" xfId="0" applyFill="1" applyBorder="1" applyAlignment="1">
      <alignment/>
    </xf>
    <xf numFmtId="0" fontId="0" fillId="4" borderId="86" xfId="0" applyFill="1" applyBorder="1" applyAlignment="1">
      <alignment/>
    </xf>
    <xf numFmtId="0" fontId="0" fillId="25" borderId="0" xfId="0" applyFill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" fillId="4" borderId="82" xfId="0" applyFont="1" applyFill="1" applyBorder="1" applyAlignment="1">
      <alignment horizontal="left"/>
    </xf>
    <xf numFmtId="0" fontId="3" fillId="4" borderId="83" xfId="0" applyFont="1" applyFill="1" applyBorder="1" applyAlignment="1">
      <alignment horizontal="left"/>
    </xf>
    <xf numFmtId="0" fontId="3" fillId="4" borderId="84" xfId="0" applyFont="1" applyFill="1" applyBorder="1" applyAlignment="1">
      <alignment horizontal="left"/>
    </xf>
    <xf numFmtId="0" fontId="0" fillId="4" borderId="91" xfId="0" applyFill="1" applyBorder="1" applyAlignment="1">
      <alignment/>
    </xf>
    <xf numFmtId="0" fontId="0" fillId="4" borderId="84" xfId="0" applyFill="1" applyBorder="1" applyAlignment="1">
      <alignment/>
    </xf>
    <xf numFmtId="0" fontId="3" fillId="4" borderId="2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92" xfId="0" applyFont="1" applyFill="1" applyBorder="1" applyAlignment="1">
      <alignment horizontal="left"/>
    </xf>
    <xf numFmtId="0" fontId="0" fillId="4" borderId="6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92" xfId="0" applyFill="1" applyBorder="1" applyAlignment="1">
      <alignment/>
    </xf>
    <xf numFmtId="0" fontId="0" fillId="4" borderId="26" xfId="0" applyFill="1" applyBorder="1" applyAlignment="1">
      <alignment/>
    </xf>
    <xf numFmtId="0" fontId="3" fillId="4" borderId="25" xfId="0" applyFont="1" applyFill="1" applyBorder="1" applyAlignment="1">
      <alignment horizontal="left"/>
    </xf>
    <xf numFmtId="0" fontId="3" fillId="4" borderId="71" xfId="0" applyFont="1" applyFill="1" applyBorder="1" applyAlignment="1">
      <alignment horizontal="left"/>
    </xf>
    <xf numFmtId="0" fontId="3" fillId="4" borderId="86" xfId="0" applyFont="1" applyFill="1" applyBorder="1" applyAlignment="1">
      <alignment horizontal="left"/>
    </xf>
    <xf numFmtId="0" fontId="35" fillId="0" borderId="0" xfId="0" applyFont="1" applyAlignment="1">
      <alignment/>
    </xf>
    <xf numFmtId="2" fontId="15" fillId="0" borderId="42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0" fontId="15" fillId="0" borderId="42" xfId="0" applyFont="1" applyFill="1" applyBorder="1" applyAlignment="1">
      <alignment/>
    </xf>
    <xf numFmtId="165" fontId="15" fillId="0" borderId="94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12" fillId="25" borderId="21" xfId="0" applyFont="1" applyFill="1" applyBorder="1" applyAlignment="1">
      <alignment horizontal="right"/>
    </xf>
    <xf numFmtId="0" fontId="12" fillId="25" borderId="2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25" borderId="5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25" borderId="95" xfId="0" applyFont="1" applyFill="1" applyBorder="1" applyAlignment="1">
      <alignment/>
    </xf>
    <xf numFmtId="0" fontId="12" fillId="0" borderId="58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65" xfId="0" applyFont="1" applyBorder="1" applyAlignment="1">
      <alignment/>
    </xf>
    <xf numFmtId="0" fontId="12" fillId="0" borderId="96" xfId="0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center"/>
    </xf>
    <xf numFmtId="44" fontId="18" fillId="0" borderId="97" xfId="52" applyFont="1" applyBorder="1" applyAlignment="1">
      <alignment/>
    </xf>
    <xf numFmtId="166" fontId="18" fillId="16" borderId="97" xfId="45" applyFont="1" applyFill="1" applyBorder="1" applyAlignment="1">
      <alignment/>
    </xf>
    <xf numFmtId="166" fontId="18" fillId="0" borderId="98" xfId="45" applyFont="1" applyBorder="1" applyAlignment="1">
      <alignment/>
    </xf>
    <xf numFmtId="44" fontId="18" fillId="0" borderId="98" xfId="0" applyNumberFormat="1" applyFont="1" applyBorder="1" applyAlignment="1">
      <alignment/>
    </xf>
    <xf numFmtId="166" fontId="18" fillId="0" borderId="98" xfId="45" applyFont="1" applyFill="1" applyBorder="1" applyAlignment="1">
      <alignment/>
    </xf>
    <xf numFmtId="0" fontId="0" fillId="0" borderId="0" xfId="55">
      <alignment/>
      <protection/>
    </xf>
    <xf numFmtId="0" fontId="25" fillId="0" borderId="0" xfId="55" applyFont="1">
      <alignment/>
      <protection/>
    </xf>
    <xf numFmtId="0" fontId="25" fillId="0" borderId="21" xfId="55" applyFont="1" applyBorder="1">
      <alignment/>
      <protection/>
    </xf>
    <xf numFmtId="0" fontId="25" fillId="0" borderId="13" xfId="55" applyFont="1" applyBorder="1">
      <alignment/>
      <protection/>
    </xf>
    <xf numFmtId="2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left"/>
    </xf>
    <xf numFmtId="44" fontId="25" fillId="0" borderId="19" xfId="52" applyFont="1" applyBorder="1" applyAlignment="1">
      <alignment/>
    </xf>
    <xf numFmtId="0" fontId="25" fillId="0" borderId="21" xfId="0" applyFont="1" applyBorder="1" applyAlignment="1">
      <alignment horizontal="left"/>
    </xf>
    <xf numFmtId="4" fontId="25" fillId="0" borderId="21" xfId="0" applyNumberFormat="1" applyFont="1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left"/>
    </xf>
    <xf numFmtId="44" fontId="25" fillId="0" borderId="21" xfId="52" applyFont="1" applyBorder="1" applyAlignment="1">
      <alignment/>
    </xf>
    <xf numFmtId="44" fontId="34" fillId="0" borderId="11" xfId="52" applyFont="1" applyBorder="1" applyAlignment="1">
      <alignment/>
    </xf>
    <xf numFmtId="0" fontId="16" fillId="0" borderId="62" xfId="0" applyFont="1" applyBorder="1" applyAlignment="1">
      <alignment/>
    </xf>
    <xf numFmtId="0" fontId="12" fillId="0" borderId="95" xfId="0" applyFont="1" applyBorder="1" applyAlignment="1">
      <alignment/>
    </xf>
    <xf numFmtId="0" fontId="25" fillId="0" borderId="99" xfId="55" applyFont="1" applyBorder="1">
      <alignment/>
      <protection/>
    </xf>
    <xf numFmtId="1" fontId="34" fillId="0" borderId="11" xfId="55" applyNumberFormat="1" applyFont="1" applyBorder="1">
      <alignment/>
      <protection/>
    </xf>
    <xf numFmtId="171" fontId="34" fillId="0" borderId="11" xfId="55" applyNumberFormat="1" applyFont="1" applyBorder="1">
      <alignment/>
      <protection/>
    </xf>
    <xf numFmtId="44" fontId="14" fillId="0" borderId="100" xfId="52" applyFont="1" applyFill="1" applyBorder="1" applyAlignment="1">
      <alignment/>
    </xf>
    <xf numFmtId="0" fontId="14" fillId="11" borderId="0" xfId="0" applyFont="1" applyFill="1" applyAlignment="1">
      <alignment/>
    </xf>
    <xf numFmtId="2" fontId="14" fillId="11" borderId="0" xfId="0" applyNumberFormat="1" applyFont="1" applyFill="1" applyAlignment="1">
      <alignment/>
    </xf>
    <xf numFmtId="0" fontId="12" fillId="0" borderId="47" xfId="0" applyFont="1" applyFill="1" applyBorder="1" applyAlignment="1">
      <alignment/>
    </xf>
    <xf numFmtId="0" fontId="12" fillId="0" borderId="95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21" xfId="0" applyFont="1" applyFill="1" applyBorder="1" applyAlignment="1">
      <alignment horizontal="right"/>
    </xf>
    <xf numFmtId="1" fontId="14" fillId="0" borderId="101" xfId="0" applyNumberFormat="1" applyFont="1" applyFill="1" applyBorder="1" applyAlignment="1">
      <alignment/>
    </xf>
    <xf numFmtId="0" fontId="14" fillId="0" borderId="101" xfId="0" applyFont="1" applyFill="1" applyBorder="1" applyAlignment="1">
      <alignment horizontal="center"/>
    </xf>
    <xf numFmtId="0" fontId="12" fillId="0" borderId="58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55" xfId="0" applyFont="1" applyFill="1" applyBorder="1" applyAlignment="1">
      <alignment/>
    </xf>
    <xf numFmtId="14" fontId="14" fillId="0" borderId="101" xfId="0" applyNumberFormat="1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02" xfId="0" applyFont="1" applyFill="1" applyBorder="1" applyAlignment="1">
      <alignment horizontal="center"/>
    </xf>
    <xf numFmtId="0" fontId="12" fillId="0" borderId="65" xfId="0" applyFont="1" applyFill="1" applyBorder="1" applyAlignment="1">
      <alignment/>
    </xf>
    <xf numFmtId="0" fontId="12" fillId="0" borderId="96" xfId="0" applyFont="1" applyFill="1" applyBorder="1" applyAlignment="1">
      <alignment horizontal="right"/>
    </xf>
    <xf numFmtId="0" fontId="14" fillId="0" borderId="103" xfId="0" applyFont="1" applyFill="1" applyBorder="1" applyAlignment="1">
      <alignment horizontal="center"/>
    </xf>
    <xf numFmtId="0" fontId="16" fillId="0" borderId="4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95" xfId="0" applyFont="1" applyFill="1" applyBorder="1" applyAlignment="1">
      <alignment horizontal="center"/>
    </xf>
    <xf numFmtId="0" fontId="16" fillId="0" borderId="62" xfId="0" applyFont="1" applyFill="1" applyBorder="1" applyAlignment="1">
      <alignment/>
    </xf>
    <xf numFmtId="0" fontId="12" fillId="0" borderId="49" xfId="0" applyFont="1" applyFill="1" applyBorder="1" applyAlignment="1">
      <alignment horizontal="center"/>
    </xf>
    <xf numFmtId="0" fontId="15" fillId="0" borderId="48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7" fillId="0" borderId="50" xfId="0" applyFont="1" applyFill="1" applyBorder="1" applyAlignment="1">
      <alignment horizontal="center" wrapText="1"/>
    </xf>
    <xf numFmtId="0" fontId="15" fillId="0" borderId="51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4" fillId="0" borderId="53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4" fontId="15" fillId="0" borderId="57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0" fontId="15" fillId="0" borderId="54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3" fontId="15" fillId="0" borderId="57" xfId="0" applyNumberFormat="1" applyFont="1" applyFill="1" applyBorder="1" applyAlignment="1">
      <alignment/>
    </xf>
    <xf numFmtId="0" fontId="14" fillId="0" borderId="58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21" xfId="0" applyFont="1" applyFill="1" applyBorder="1" applyAlignment="1">
      <alignment horizontal="left"/>
    </xf>
    <xf numFmtId="0" fontId="14" fillId="0" borderId="49" xfId="0" applyFont="1" applyFill="1" applyBorder="1" applyAlignment="1">
      <alignment/>
    </xf>
    <xf numFmtId="0" fontId="14" fillId="0" borderId="32" xfId="0" applyFont="1" applyFill="1" applyBorder="1" applyAlignment="1">
      <alignment horizontal="left"/>
    </xf>
    <xf numFmtId="0" fontId="14" fillId="25" borderId="54" xfId="0" applyFont="1" applyFill="1" applyBorder="1" applyAlignment="1">
      <alignment horizontal="right"/>
    </xf>
    <xf numFmtId="0" fontId="41" fillId="0" borderId="48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0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5" fillId="0" borderId="2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75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0" fontId="0" fillId="0" borderId="83" xfId="0" applyBorder="1" applyAlignment="1">
      <alignment/>
    </xf>
    <xf numFmtId="0" fontId="0" fillId="0" borderId="0" xfId="0" applyAlignment="1">
      <alignment/>
    </xf>
    <xf numFmtId="0" fontId="0" fillId="0" borderId="71" xfId="0" applyBorder="1" applyAlignment="1">
      <alignment/>
    </xf>
    <xf numFmtId="0" fontId="0" fillId="0" borderId="83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4" fontId="15" fillId="2" borderId="57" xfId="0" applyNumberFormat="1" applyFont="1" applyFill="1" applyBorder="1" applyAlignment="1">
      <alignment/>
    </xf>
    <xf numFmtId="17" fontId="14" fillId="2" borderId="65" xfId="0" applyNumberFormat="1" applyFont="1" applyFill="1" applyBorder="1" applyAlignment="1">
      <alignment horizontal="center"/>
    </xf>
    <xf numFmtId="0" fontId="14" fillId="2" borderId="65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1" fontId="14" fillId="2" borderId="101" xfId="0" applyNumberFormat="1" applyFont="1" applyFill="1" applyBorder="1" applyAlignment="1">
      <alignment/>
    </xf>
    <xf numFmtId="0" fontId="14" fillId="2" borderId="101" xfId="0" applyFont="1" applyFill="1" applyBorder="1" applyAlignment="1">
      <alignment horizontal="center"/>
    </xf>
    <xf numFmtId="14" fontId="14" fillId="2" borderId="101" xfId="0" applyNumberFormat="1" applyFont="1" applyFill="1" applyBorder="1" applyAlignment="1">
      <alignment/>
    </xf>
    <xf numFmtId="0" fontId="14" fillId="2" borderId="102" xfId="0" applyFont="1" applyFill="1" applyBorder="1" applyAlignment="1">
      <alignment horizontal="center"/>
    </xf>
    <xf numFmtId="2" fontId="15" fillId="2" borderId="42" xfId="0" applyNumberFormat="1" applyFont="1" applyFill="1" applyBorder="1" applyAlignment="1">
      <alignment/>
    </xf>
    <xf numFmtId="0" fontId="15" fillId="2" borderId="42" xfId="0" applyFont="1" applyFill="1" applyBorder="1" applyAlignment="1">
      <alignment/>
    </xf>
    <xf numFmtId="165" fontId="15" fillId="2" borderId="94" xfId="0" applyNumberFormat="1" applyFont="1" applyFill="1" applyBorder="1" applyAlignment="1">
      <alignment horizontal="right"/>
    </xf>
    <xf numFmtId="44" fontId="14" fillId="2" borderId="100" xfId="52" applyFont="1" applyFill="1" applyBorder="1" applyAlignment="1">
      <alignment/>
    </xf>
    <xf numFmtId="0" fontId="15" fillId="2" borderId="20" xfId="0" applyFont="1" applyFill="1" applyBorder="1" applyAlignment="1">
      <alignment/>
    </xf>
    <xf numFmtId="2" fontId="15" fillId="2" borderId="20" xfId="0" applyNumberFormat="1" applyFont="1" applyFill="1" applyBorder="1" applyAlignment="1">
      <alignment/>
    </xf>
    <xf numFmtId="0" fontId="13" fillId="2" borderId="21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2" fontId="15" fillId="2" borderId="21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44" fontId="25" fillId="0" borderId="32" xfId="52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4" fillId="2" borderId="65" xfId="0" applyFont="1" applyFill="1" applyBorder="1" applyAlignment="1">
      <alignment/>
    </xf>
    <xf numFmtId="0" fontId="14" fillId="2" borderId="95" xfId="0" applyFont="1" applyFill="1" applyBorder="1" applyAlignment="1">
      <alignment horizontal="center"/>
    </xf>
    <xf numFmtId="0" fontId="25" fillId="2" borderId="43" xfId="55" applyFont="1" applyFill="1" applyBorder="1">
      <alignment/>
      <protection/>
    </xf>
    <xf numFmtId="9" fontId="14" fillId="2" borderId="54" xfId="0" applyNumberFormat="1" applyFont="1" applyFill="1" applyBorder="1" applyAlignment="1">
      <alignment horizontal="left"/>
    </xf>
    <xf numFmtId="4" fontId="15" fillId="17" borderId="11" xfId="0" applyNumberFormat="1" applyFont="1" applyFill="1" applyBorder="1" applyAlignment="1">
      <alignment horizontal="center"/>
    </xf>
    <xf numFmtId="0" fontId="14" fillId="0" borderId="54" xfId="0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Fill="1" applyAlignment="1">
      <alignment/>
    </xf>
    <xf numFmtId="0" fontId="12" fillId="0" borderId="32" xfId="0" applyFont="1" applyFill="1" applyBorder="1" applyAlignment="1">
      <alignment horizontal="left"/>
    </xf>
    <xf numFmtId="14" fontId="14" fillId="0" borderId="101" xfId="0" applyNumberFormat="1" applyFont="1" applyFill="1" applyBorder="1" applyAlignment="1">
      <alignment horizontal="center"/>
    </xf>
    <xf numFmtId="0" fontId="14" fillId="2" borderId="95" xfId="0" applyFont="1" applyFill="1" applyBorder="1" applyAlignment="1" applyProtection="1">
      <alignment horizontal="center"/>
      <protection locked="0"/>
    </xf>
    <xf numFmtId="17" fontId="41" fillId="2" borderId="65" xfId="0" applyNumberFormat="1" applyFont="1" applyFill="1" applyBorder="1" applyAlignment="1">
      <alignment horizontal="center"/>
    </xf>
    <xf numFmtId="0" fontId="41" fillId="2" borderId="103" xfId="0" applyFont="1" applyFill="1" applyBorder="1" applyAlignment="1">
      <alignment horizontal="center"/>
    </xf>
    <xf numFmtId="0" fontId="12" fillId="0" borderId="96" xfId="0" applyFont="1" applyBorder="1" applyAlignment="1">
      <alignment horizontal="left"/>
    </xf>
    <xf numFmtId="0" fontId="12" fillId="25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/>
    </xf>
    <xf numFmtId="0" fontId="14" fillId="2" borderId="65" xfId="0" applyFont="1" applyFill="1" applyBorder="1" applyAlignment="1">
      <alignment horizontal="center"/>
    </xf>
    <xf numFmtId="0" fontId="41" fillId="0" borderId="103" xfId="0" applyFont="1" applyFill="1" applyBorder="1" applyAlignment="1">
      <alignment horizontal="center"/>
    </xf>
    <xf numFmtId="0" fontId="14" fillId="0" borderId="56" xfId="0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9" fontId="14" fillId="2" borderId="54" xfId="0" applyNumberFormat="1" applyFont="1" applyFill="1" applyBorder="1" applyAlignment="1">
      <alignment horizontal="center"/>
    </xf>
    <xf numFmtId="2" fontId="15" fillId="0" borderId="20" xfId="0" applyNumberFormat="1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0" borderId="21" xfId="0" applyBorder="1" applyAlignment="1">
      <alignment/>
    </xf>
    <xf numFmtId="0" fontId="14" fillId="16" borderId="104" xfId="0" applyFont="1" applyFill="1" applyBorder="1" applyAlignment="1">
      <alignment horizontal="left"/>
    </xf>
    <xf numFmtId="0" fontId="14" fillId="16" borderId="105" xfId="0" applyFont="1" applyFill="1" applyBorder="1" applyAlignment="1">
      <alignment horizontal="left"/>
    </xf>
    <xf numFmtId="0" fontId="14" fillId="16" borderId="57" xfId="0" applyFont="1" applyFill="1" applyBorder="1" applyAlignment="1">
      <alignment horizontal="left"/>
    </xf>
    <xf numFmtId="0" fontId="12" fillId="0" borderId="106" xfId="0" applyFont="1" applyBorder="1" applyAlignment="1">
      <alignment horizontal="left"/>
    </xf>
    <xf numFmtId="0" fontId="12" fillId="0" borderId="10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2" fontId="15" fillId="0" borderId="21" xfId="0" applyNumberFormat="1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4" fontId="14" fillId="0" borderId="58" xfId="52" applyFont="1" applyFill="1" applyBorder="1" applyAlignment="1">
      <alignment horizontal="left"/>
    </xf>
    <xf numFmtId="44" fontId="14" fillId="0" borderId="55" xfId="52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4" fillId="2" borderId="95" xfId="0" applyFont="1" applyFill="1" applyBorder="1" applyAlignment="1">
      <alignment horizontal="left"/>
    </xf>
    <xf numFmtId="0" fontId="14" fillId="2" borderId="108" xfId="0" applyFont="1" applyFill="1" applyBorder="1" applyAlignment="1">
      <alignment horizontal="left"/>
    </xf>
    <xf numFmtId="0" fontId="12" fillId="2" borderId="95" xfId="0" applyFont="1" applyFill="1" applyBorder="1" applyAlignment="1">
      <alignment horizontal="center"/>
    </xf>
    <xf numFmtId="0" fontId="14" fillId="0" borderId="48" xfId="0" applyFont="1" applyBorder="1" applyAlignment="1">
      <alignment horizontal="left"/>
    </xf>
    <xf numFmtId="44" fontId="14" fillId="0" borderId="57" xfId="52" applyFont="1" applyBorder="1" applyAlignment="1">
      <alignment horizontal="left"/>
    </xf>
    <xf numFmtId="0" fontId="14" fillId="0" borderId="105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109" xfId="0" applyFont="1" applyFill="1" applyBorder="1" applyAlignment="1">
      <alignment/>
    </xf>
    <xf numFmtId="0" fontId="14" fillId="0" borderId="105" xfId="0" applyFont="1" applyFill="1" applyBorder="1" applyAlignment="1">
      <alignment horizontal="left"/>
    </xf>
    <xf numFmtId="0" fontId="14" fillId="0" borderId="57" xfId="0" applyFont="1" applyFill="1" applyBorder="1" applyAlignment="1">
      <alignment horizontal="left"/>
    </xf>
    <xf numFmtId="0" fontId="14" fillId="0" borderId="109" xfId="0" applyFont="1" applyFill="1" applyBorder="1" applyAlignment="1">
      <alignment horizontal="left"/>
    </xf>
    <xf numFmtId="44" fontId="14" fillId="0" borderId="105" xfId="52" applyFont="1" applyFill="1" applyBorder="1" applyAlignment="1">
      <alignment horizontal="left"/>
    </xf>
    <xf numFmtId="44" fontId="14" fillId="0" borderId="57" xfId="52" applyFont="1" applyFill="1" applyBorder="1" applyAlignment="1">
      <alignment horizontal="left"/>
    </xf>
    <xf numFmtId="0" fontId="40" fillId="0" borderId="21" xfId="55" applyFont="1" applyBorder="1" applyAlignment="1">
      <alignment horizontal="left"/>
      <protection/>
    </xf>
    <xf numFmtId="0" fontId="34" fillId="0" borderId="45" xfId="55" applyFont="1" applyBorder="1" applyAlignment="1">
      <alignment horizontal="center"/>
      <protection/>
    </xf>
    <xf numFmtId="0" fontId="34" fillId="0" borderId="110" xfId="55" applyFont="1" applyBorder="1" applyAlignment="1">
      <alignment horizontal="center"/>
      <protection/>
    </xf>
    <xf numFmtId="0" fontId="34" fillId="0" borderId="46" xfId="55" applyFont="1" applyBorder="1" applyAlignment="1">
      <alignment horizontal="center"/>
      <protection/>
    </xf>
    <xf numFmtId="0" fontId="25" fillId="0" borderId="19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3" fillId="0" borderId="0" xfId="55" applyFont="1" applyAlignment="1">
      <alignment horizontal="right"/>
      <protection/>
    </xf>
    <xf numFmtId="0" fontId="0" fillId="0" borderId="26" xfId="55" applyBorder="1" applyAlignment="1">
      <alignment horizontal="right"/>
      <protection/>
    </xf>
    <xf numFmtId="0" fontId="25" fillId="0" borderId="21" xfId="0" applyFont="1" applyFill="1" applyBorder="1" applyAlignment="1">
      <alignment horizontal="left"/>
    </xf>
    <xf numFmtId="0" fontId="40" fillId="0" borderId="43" xfId="55" applyFont="1" applyBorder="1" applyAlignment="1">
      <alignment horizontal="left"/>
      <protection/>
    </xf>
    <xf numFmtId="0" fontId="34" fillId="0" borderId="22" xfId="55" applyFont="1" applyBorder="1" applyAlignment="1">
      <alignment horizontal="center"/>
      <protection/>
    </xf>
    <xf numFmtId="0" fontId="34" fillId="0" borderId="111" xfId="55" applyFont="1" applyBorder="1" applyAlignment="1">
      <alignment horizontal="center"/>
      <protection/>
    </xf>
    <xf numFmtId="0" fontId="34" fillId="0" borderId="23" xfId="55" applyFont="1" applyBorder="1" applyAlignment="1">
      <alignment horizontal="center"/>
      <protection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4" fillId="0" borderId="20" xfId="0" applyNumberFormat="1" applyFont="1" applyBorder="1" applyAlignment="1">
      <alignment horizontal="left" wrapText="1"/>
    </xf>
    <xf numFmtId="164" fontId="4" fillId="0" borderId="21" xfId="0" applyNumberFormat="1" applyFont="1" applyBorder="1" applyAlignment="1">
      <alignment horizontal="left" wrapText="1"/>
    </xf>
    <xf numFmtId="164" fontId="0" fillId="0" borderId="2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" fontId="0" fillId="7" borderId="0" xfId="0" applyNumberFormat="1" applyFont="1" applyFill="1" applyAlignment="1">
      <alignment horizontal="left" vertical="center" wrapText="1"/>
    </xf>
    <xf numFmtId="1" fontId="0" fillId="7" borderId="0" xfId="0" applyNumberFormat="1" applyFill="1" applyAlignment="1">
      <alignment horizontal="left" vertical="center" wrapText="1"/>
    </xf>
    <xf numFmtId="164" fontId="7" fillId="22" borderId="87" xfId="0" applyNumberFormat="1" applyFont="1" applyFill="1" applyBorder="1" applyAlignment="1">
      <alignment horizontal="center"/>
    </xf>
    <xf numFmtId="164" fontId="7" fillId="22" borderId="88" xfId="0" applyNumberFormat="1" applyFont="1" applyFill="1" applyBorder="1" applyAlignment="1">
      <alignment horizontal="center"/>
    </xf>
    <xf numFmtId="164" fontId="7" fillId="22" borderId="90" xfId="0" applyNumberFormat="1" applyFont="1" applyFill="1" applyBorder="1" applyAlignment="1">
      <alignment horizontal="center"/>
    </xf>
    <xf numFmtId="164" fontId="7" fillId="22" borderId="82" xfId="0" applyNumberFormat="1" applyFont="1" applyFill="1" applyBorder="1" applyAlignment="1">
      <alignment horizontal="left" vertical="center"/>
    </xf>
    <xf numFmtId="164" fontId="7" fillId="22" borderId="84" xfId="0" applyNumberFormat="1" applyFont="1" applyFill="1" applyBorder="1" applyAlignment="1">
      <alignment horizontal="left" vertical="center"/>
    </xf>
    <xf numFmtId="164" fontId="7" fillId="22" borderId="25" xfId="0" applyNumberFormat="1" applyFont="1" applyFill="1" applyBorder="1" applyAlignment="1">
      <alignment horizontal="left" vertical="center"/>
    </xf>
    <xf numFmtId="164" fontId="7" fillId="22" borderId="86" xfId="0" applyNumberFormat="1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7" fillId="22" borderId="18" xfId="0" applyNumberFormat="1" applyFont="1" applyFill="1" applyBorder="1" applyAlignment="1">
      <alignment horizontal="center"/>
    </xf>
    <xf numFmtId="164" fontId="7" fillId="22" borderId="19" xfId="0" applyNumberFormat="1" applyFont="1" applyFill="1" applyBorder="1" applyAlignment="1">
      <alignment horizontal="center"/>
    </xf>
    <xf numFmtId="164" fontId="7" fillId="22" borderId="15" xfId="0" applyNumberFormat="1" applyFont="1" applyFill="1" applyBorder="1" applyAlignment="1">
      <alignment horizontal="center"/>
    </xf>
    <xf numFmtId="164" fontId="4" fillId="7" borderId="20" xfId="0" applyNumberFormat="1" applyFont="1" applyFill="1" applyBorder="1" applyAlignment="1">
      <alignment/>
    </xf>
    <xf numFmtId="164" fontId="4" fillId="7" borderId="21" xfId="0" applyNumberFormat="1" applyFont="1" applyFill="1" applyBorder="1" applyAlignment="1">
      <alignment/>
    </xf>
    <xf numFmtId="164" fontId="4" fillId="7" borderId="18" xfId="0" applyNumberFormat="1" applyFont="1" applyFill="1" applyBorder="1" applyAlignment="1">
      <alignment/>
    </xf>
    <xf numFmtId="164" fontId="4" fillId="7" borderId="19" xfId="0" applyNumberFormat="1" applyFont="1" applyFill="1" applyBorder="1" applyAlignment="1">
      <alignment/>
    </xf>
    <xf numFmtId="164" fontId="0" fillId="0" borderId="112" xfId="0" applyNumberFormat="1" applyBorder="1" applyAlignment="1">
      <alignment horizontal="center"/>
    </xf>
    <xf numFmtId="164" fontId="0" fillId="0" borderId="113" xfId="0" applyNumberFormat="1" applyBorder="1" applyAlignment="1">
      <alignment horizontal="center"/>
    </xf>
    <xf numFmtId="164" fontId="7" fillId="22" borderId="18" xfId="0" applyNumberFormat="1" applyFont="1" applyFill="1" applyBorder="1" applyAlignment="1">
      <alignment horizontal="left" vertical="center"/>
    </xf>
    <xf numFmtId="164" fontId="7" fillId="22" borderId="19" xfId="0" applyNumberFormat="1" applyFont="1" applyFill="1" applyBorder="1" applyAlignment="1">
      <alignment horizontal="left" vertical="center"/>
    </xf>
    <xf numFmtId="164" fontId="7" fillId="22" borderId="12" xfId="0" applyNumberFormat="1" applyFont="1" applyFill="1" applyBorder="1" applyAlignment="1">
      <alignment horizontal="left" vertical="center"/>
    </xf>
    <xf numFmtId="164" fontId="7" fillId="22" borderId="13" xfId="0" applyNumberFormat="1" applyFont="1" applyFill="1" applyBorder="1" applyAlignment="1">
      <alignment horizontal="left" vertical="center"/>
    </xf>
    <xf numFmtId="164" fontId="4" fillId="0" borderId="20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164" fontId="0" fillId="0" borderId="19" xfId="0" applyNumberFormat="1" applyBorder="1" applyAlignment="1">
      <alignment horizontal="center" vertical="center"/>
    </xf>
    <xf numFmtId="164" fontId="4" fillId="0" borderId="18" xfId="0" applyNumberFormat="1" applyFont="1" applyBorder="1" applyAlignment="1">
      <alignment horizontal="left" wrapText="1"/>
    </xf>
    <xf numFmtId="164" fontId="4" fillId="0" borderId="19" xfId="0" applyNumberFormat="1" applyFont="1" applyBorder="1" applyAlignment="1">
      <alignment horizontal="left" wrapText="1"/>
    </xf>
    <xf numFmtId="164" fontId="3" fillId="7" borderId="22" xfId="0" applyNumberFormat="1" applyFont="1" applyFill="1" applyBorder="1" applyAlignment="1">
      <alignment/>
    </xf>
    <xf numFmtId="164" fontId="3" fillId="7" borderId="111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 horizontal="left" wrapText="1"/>
    </xf>
    <xf numFmtId="164" fontId="4" fillId="0" borderId="13" xfId="0" applyNumberFormat="1" applyFont="1" applyBorder="1" applyAlignment="1">
      <alignment horizontal="left" wrapText="1"/>
    </xf>
    <xf numFmtId="164" fontId="4" fillId="22" borderId="45" xfId="0" applyNumberFormat="1" applyFont="1" applyFill="1" applyBorder="1" applyAlignment="1">
      <alignment horizontal="center"/>
    </xf>
    <xf numFmtId="164" fontId="4" fillId="22" borderId="46" xfId="0" applyNumberFormat="1" applyFont="1" applyFill="1" applyBorder="1" applyAlignment="1">
      <alignment horizontal="center"/>
    </xf>
    <xf numFmtId="164" fontId="4" fillId="0" borderId="114" xfId="0" applyNumberFormat="1" applyFont="1" applyBorder="1" applyAlignment="1">
      <alignment horizontal="left"/>
    </xf>
    <xf numFmtId="164" fontId="4" fillId="0" borderId="43" xfId="0" applyNumberFormat="1" applyFont="1" applyBorder="1" applyAlignment="1">
      <alignment horizontal="left"/>
    </xf>
    <xf numFmtId="164" fontId="3" fillId="7" borderId="12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164" fontId="3" fillId="7" borderId="18" xfId="0" applyNumberFormat="1" applyFont="1" applyFill="1" applyBorder="1" applyAlignment="1">
      <alignment/>
    </xf>
    <xf numFmtId="164" fontId="3" fillId="7" borderId="19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164" fontId="7" fillId="22" borderId="82" xfId="0" applyNumberFormat="1" applyFont="1" applyFill="1" applyBorder="1" applyAlignment="1">
      <alignment horizontal="center" wrapText="1"/>
    </xf>
    <xf numFmtId="164" fontId="7" fillId="22" borderId="83" xfId="0" applyNumberFormat="1" applyFont="1" applyFill="1" applyBorder="1" applyAlignment="1">
      <alignment horizontal="center" wrapText="1"/>
    </xf>
    <xf numFmtId="164" fontId="7" fillId="22" borderId="24" xfId="0" applyNumberFormat="1" applyFont="1" applyFill="1" applyBorder="1" applyAlignment="1">
      <alignment horizontal="center" wrapText="1"/>
    </xf>
    <xf numFmtId="164" fontId="7" fillId="22" borderId="0" xfId="0" applyNumberFormat="1" applyFont="1" applyFill="1" applyBorder="1" applyAlignment="1">
      <alignment horizontal="center" wrapText="1"/>
    </xf>
    <xf numFmtId="164" fontId="7" fillId="22" borderId="25" xfId="0" applyNumberFormat="1" applyFont="1" applyFill="1" applyBorder="1" applyAlignment="1">
      <alignment horizontal="center" wrapText="1"/>
    </xf>
    <xf numFmtId="164" fontId="7" fillId="22" borderId="71" xfId="0" applyNumberFormat="1" applyFont="1" applyFill="1" applyBorder="1" applyAlignment="1">
      <alignment horizontal="center" wrapText="1"/>
    </xf>
    <xf numFmtId="164" fontId="7" fillId="22" borderId="27" xfId="0" applyNumberFormat="1" applyFont="1" applyFill="1" applyBorder="1" applyAlignment="1">
      <alignment horizontal="center" wrapText="1"/>
    </xf>
    <xf numFmtId="164" fontId="7" fillId="22" borderId="45" xfId="0" applyNumberFormat="1" applyFont="1" applyFill="1" applyBorder="1" applyAlignment="1">
      <alignment horizontal="center"/>
    </xf>
    <xf numFmtId="164" fontId="7" fillId="22" borderId="46" xfId="0" applyNumberFormat="1" applyFont="1" applyFill="1" applyBorder="1" applyAlignment="1">
      <alignment horizontal="center"/>
    </xf>
    <xf numFmtId="164" fontId="3" fillId="7" borderId="22" xfId="0" applyNumberFormat="1" applyFont="1" applyFill="1" applyBorder="1" applyAlignment="1">
      <alignment horizontal="left"/>
    </xf>
    <xf numFmtId="164" fontId="3" fillId="7" borderId="111" xfId="0" applyNumberFormat="1" applyFont="1" applyFill="1" applyBorder="1" applyAlignment="1">
      <alignment horizontal="left"/>
    </xf>
    <xf numFmtId="10" fontId="8" fillId="0" borderId="75" xfId="0" applyNumberFormat="1" applyFont="1" applyBorder="1" applyAlignment="1">
      <alignment horizontal="center"/>
    </xf>
    <xf numFmtId="10" fontId="8" fillId="0" borderId="115" xfId="0" applyNumberFormat="1" applyFont="1" applyBorder="1" applyAlignment="1">
      <alignment horizontal="center"/>
    </xf>
    <xf numFmtId="10" fontId="8" fillId="0" borderId="45" xfId="0" applyNumberFormat="1" applyFont="1" applyBorder="1" applyAlignment="1">
      <alignment horizontal="center"/>
    </xf>
    <xf numFmtId="164" fontId="7" fillId="22" borderId="116" xfId="0" applyNumberFormat="1" applyFont="1" applyFill="1" applyBorder="1" applyAlignment="1">
      <alignment horizontal="center"/>
    </xf>
    <xf numFmtId="164" fontId="7" fillId="22" borderId="117" xfId="0" applyNumberFormat="1" applyFont="1" applyFill="1" applyBorder="1" applyAlignment="1">
      <alignment horizontal="center"/>
    </xf>
    <xf numFmtId="164" fontId="7" fillId="22" borderId="30" xfId="0" applyNumberFormat="1" applyFont="1" applyFill="1" applyBorder="1" applyAlignment="1">
      <alignment horizontal="center"/>
    </xf>
    <xf numFmtId="164" fontId="0" fillId="0" borderId="118" xfId="0" applyNumberFormat="1" applyBorder="1" applyAlignment="1">
      <alignment horizontal="center"/>
    </xf>
    <xf numFmtId="164" fontId="0" fillId="0" borderId="119" xfId="0" applyNumberFormat="1" applyBorder="1" applyAlignment="1">
      <alignment horizontal="center"/>
    </xf>
    <xf numFmtId="0" fontId="29" fillId="25" borderId="120" xfId="0" applyFont="1" applyFill="1" applyBorder="1" applyAlignment="1">
      <alignment horizontal="center" vertical="center" wrapText="1"/>
    </xf>
    <xf numFmtId="0" fontId="29" fillId="25" borderId="78" xfId="0" applyFont="1" applyFill="1" applyBorder="1" applyAlignment="1">
      <alignment horizontal="center" vertical="center" wrapText="1"/>
    </xf>
    <xf numFmtId="0" fontId="30" fillId="25" borderId="120" xfId="0" applyFont="1" applyFill="1" applyBorder="1" applyAlignment="1">
      <alignment horizontal="center" vertical="center" wrapText="1"/>
    </xf>
    <xf numFmtId="0" fontId="30" fillId="25" borderId="7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4" fontId="0" fillId="8" borderId="64" xfId="52" applyFont="1" applyFill="1" applyBorder="1" applyAlignment="1">
      <alignment horizontal="right"/>
    </xf>
    <xf numFmtId="44" fontId="0" fillId="8" borderId="57" xfId="52" applyFont="1" applyFill="1" applyBorder="1" applyAlignment="1">
      <alignment horizontal="right"/>
    </xf>
    <xf numFmtId="44" fontId="0" fillId="8" borderId="104" xfId="52" applyFont="1" applyFill="1" applyBorder="1" applyAlignment="1">
      <alignment horizontal="right"/>
    </xf>
    <xf numFmtId="0" fontId="3" fillId="0" borderId="6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4" fillId="25" borderId="82" xfId="0" applyNumberFormat="1" applyFont="1" applyFill="1" applyBorder="1" applyAlignment="1">
      <alignment horizontal="center" vertical="center" wrapText="1"/>
    </xf>
    <xf numFmtId="0" fontId="34" fillId="25" borderId="83" xfId="0" applyFont="1" applyFill="1" applyBorder="1" applyAlignment="1">
      <alignment horizontal="center" vertical="center"/>
    </xf>
    <xf numFmtId="0" fontId="34" fillId="25" borderId="85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  <xf numFmtId="0" fontId="34" fillId="25" borderId="71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34" fillId="25" borderId="82" xfId="0" applyFont="1" applyFill="1" applyBorder="1" applyAlignment="1">
      <alignment horizontal="center" vertical="center" wrapText="1"/>
    </xf>
    <xf numFmtId="44" fontId="24" fillId="25" borderId="82" xfId="52" applyFont="1" applyFill="1" applyBorder="1" applyAlignment="1">
      <alignment horizontal="center" vertical="center" wrapText="1"/>
    </xf>
    <xf numFmtId="44" fontId="24" fillId="25" borderId="83" xfId="52" applyFont="1" applyFill="1" applyBorder="1" applyAlignment="1">
      <alignment horizontal="center" vertical="center"/>
    </xf>
    <xf numFmtId="44" fontId="24" fillId="25" borderId="85" xfId="52" applyFont="1" applyFill="1" applyBorder="1" applyAlignment="1">
      <alignment horizontal="center" vertical="center"/>
    </xf>
    <xf numFmtId="44" fontId="24" fillId="25" borderId="25" xfId="52" applyFont="1" applyFill="1" applyBorder="1" applyAlignment="1">
      <alignment horizontal="center" vertical="center"/>
    </xf>
    <xf numFmtId="44" fontId="24" fillId="25" borderId="71" xfId="52" applyFont="1" applyFill="1" applyBorder="1" applyAlignment="1">
      <alignment horizontal="center" vertical="center"/>
    </xf>
    <xf numFmtId="44" fontId="24" fillId="25" borderId="27" xfId="52" applyFont="1" applyFill="1" applyBorder="1" applyAlignment="1">
      <alignment horizontal="center" vertical="center"/>
    </xf>
    <xf numFmtId="167" fontId="35" fillId="25" borderId="82" xfId="0" applyNumberFormat="1" applyFont="1" applyFill="1" applyBorder="1" applyAlignment="1">
      <alignment horizontal="center" vertical="center" wrapText="1"/>
    </xf>
    <xf numFmtId="44" fontId="34" fillId="25" borderId="82" xfId="52" applyFont="1" applyFill="1" applyBorder="1" applyAlignment="1">
      <alignment horizontal="center" vertical="center" wrapText="1"/>
    </xf>
    <xf numFmtId="44" fontId="34" fillId="25" borderId="83" xfId="52" applyFont="1" applyFill="1" applyBorder="1" applyAlignment="1">
      <alignment horizontal="center" vertical="center"/>
    </xf>
    <xf numFmtId="44" fontId="34" fillId="25" borderId="85" xfId="52" applyFont="1" applyFill="1" applyBorder="1" applyAlignment="1">
      <alignment horizontal="center" vertical="center"/>
    </xf>
    <xf numFmtId="44" fontId="34" fillId="25" borderId="25" xfId="52" applyFont="1" applyFill="1" applyBorder="1" applyAlignment="1">
      <alignment horizontal="center" vertical="center"/>
    </xf>
    <xf numFmtId="44" fontId="34" fillId="25" borderId="71" xfId="52" applyFont="1" applyFill="1" applyBorder="1" applyAlignment="1">
      <alignment horizontal="center" vertical="center"/>
    </xf>
    <xf numFmtId="44" fontId="34" fillId="25" borderId="27" xfId="52" applyFont="1" applyFill="1" applyBorder="1" applyAlignment="1">
      <alignment horizontal="center" vertical="center"/>
    </xf>
    <xf numFmtId="0" fontId="3" fillId="4" borderId="82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82" xfId="0" applyFont="1" applyFill="1" applyBorder="1" applyAlignment="1">
      <alignment horizontal="center" wrapText="1"/>
    </xf>
    <xf numFmtId="0" fontId="3" fillId="4" borderId="83" xfId="0" applyFont="1" applyFill="1" applyBorder="1" applyAlignment="1">
      <alignment horizontal="center"/>
    </xf>
    <xf numFmtId="0" fontId="3" fillId="4" borderId="8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82" xfId="0" applyFont="1" applyFill="1" applyBorder="1" applyAlignment="1">
      <alignment horizontal="center" vertical="center" wrapText="1"/>
    </xf>
    <xf numFmtId="2" fontId="34" fillId="25" borderId="82" xfId="0" applyNumberFormat="1" applyFont="1" applyFill="1" applyBorder="1" applyAlignment="1">
      <alignment horizontal="center" vertical="center" wrapText="1"/>
    </xf>
    <xf numFmtId="2" fontId="34" fillId="25" borderId="83" xfId="0" applyNumberFormat="1" applyFont="1" applyFill="1" applyBorder="1" applyAlignment="1">
      <alignment horizontal="center" vertical="center"/>
    </xf>
    <xf numFmtId="2" fontId="34" fillId="25" borderId="85" xfId="0" applyNumberFormat="1" applyFont="1" applyFill="1" applyBorder="1" applyAlignment="1">
      <alignment horizontal="center" vertical="center"/>
    </xf>
    <xf numFmtId="2" fontId="34" fillId="25" borderId="25" xfId="0" applyNumberFormat="1" applyFont="1" applyFill="1" applyBorder="1" applyAlignment="1">
      <alignment horizontal="center" vertical="center"/>
    </xf>
    <xf numFmtId="2" fontId="34" fillId="25" borderId="71" xfId="0" applyNumberFormat="1" applyFont="1" applyFill="1" applyBorder="1" applyAlignment="1">
      <alignment horizontal="center" vertical="center"/>
    </xf>
    <xf numFmtId="2" fontId="34" fillId="25" borderId="27" xfId="0" applyNumberFormat="1" applyFont="1" applyFill="1" applyBorder="1" applyAlignment="1">
      <alignment horizontal="center" vertical="center"/>
    </xf>
    <xf numFmtId="0" fontId="25" fillId="0" borderId="12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122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25" fillId="0" borderId="12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2" fontId="25" fillId="0" borderId="91" xfId="0" applyNumberFormat="1" applyFont="1" applyBorder="1" applyAlignment="1">
      <alignment horizontal="center" vertical="center" wrapText="1"/>
    </xf>
    <xf numFmtId="2" fontId="25" fillId="0" borderId="83" xfId="0" applyNumberFormat="1" applyFont="1" applyBorder="1" applyAlignment="1">
      <alignment horizontal="center" vertical="center" wrapText="1"/>
    </xf>
    <xf numFmtId="2" fontId="25" fillId="0" borderId="85" xfId="0" applyNumberFormat="1" applyFont="1" applyBorder="1" applyAlignment="1">
      <alignment horizontal="center" vertical="center" wrapText="1"/>
    </xf>
    <xf numFmtId="2" fontId="25" fillId="0" borderId="68" xfId="0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vertical="center" wrapText="1"/>
    </xf>
    <xf numFmtId="2" fontId="25" fillId="0" borderId="123" xfId="0" applyNumberFormat="1" applyFont="1" applyBorder="1" applyAlignment="1">
      <alignment horizontal="center" vertical="center" wrapText="1"/>
    </xf>
    <xf numFmtId="2" fontId="25" fillId="0" borderId="55" xfId="0" applyNumberFormat="1" applyFont="1" applyBorder="1" applyAlignment="1">
      <alignment horizontal="center" vertical="center" wrapText="1"/>
    </xf>
    <xf numFmtId="2" fontId="25" fillId="0" borderId="100" xfId="0" applyNumberFormat="1" applyFont="1" applyBorder="1" applyAlignment="1">
      <alignment horizontal="center" vertical="center" wrapText="1"/>
    </xf>
    <xf numFmtId="0" fontId="25" fillId="4" borderId="124" xfId="0" applyFont="1" applyFill="1" applyBorder="1" applyAlignment="1">
      <alignment horizontal="center" vertical="center" wrapText="1"/>
    </xf>
    <xf numFmtId="0" fontId="25" fillId="4" borderId="72" xfId="0" applyFont="1" applyFill="1" applyBorder="1" applyAlignment="1">
      <alignment horizontal="center" vertical="center" wrapText="1"/>
    </xf>
    <xf numFmtId="0" fontId="25" fillId="4" borderId="122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92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71" xfId="0" applyFont="1" applyFill="1" applyBorder="1" applyAlignment="1">
      <alignment horizontal="center" vertical="center" wrapText="1"/>
    </xf>
    <xf numFmtId="0" fontId="25" fillId="4" borderId="86" xfId="0" applyFont="1" applyFill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2" fontId="25" fillId="0" borderId="121" xfId="0" applyNumberFormat="1" applyFont="1" applyBorder="1" applyAlignment="1">
      <alignment horizontal="center" vertical="center" wrapText="1"/>
    </xf>
    <xf numFmtId="2" fontId="25" fillId="0" borderId="72" xfId="0" applyNumberFormat="1" applyFont="1" applyBorder="1" applyAlignment="1">
      <alignment horizontal="center" vertical="center" wrapText="1"/>
    </xf>
    <xf numFmtId="2" fontId="25" fillId="0" borderId="35" xfId="0" applyNumberFormat="1" applyFont="1" applyBorder="1" applyAlignment="1">
      <alignment horizontal="center" vertical="center" wrapText="1"/>
    </xf>
    <xf numFmtId="2" fontId="25" fillId="0" borderId="93" xfId="0" applyNumberFormat="1" applyFont="1" applyBorder="1" applyAlignment="1">
      <alignment horizontal="center" vertical="center" wrapText="1"/>
    </xf>
    <xf numFmtId="2" fontId="25" fillId="0" borderId="71" xfId="0" applyNumberFormat="1" applyFont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44" fontId="24" fillId="0" borderId="91" xfId="52" applyFont="1" applyBorder="1" applyAlignment="1">
      <alignment horizontal="center" vertical="center" wrapText="1"/>
    </xf>
    <xf numFmtId="44" fontId="24" fillId="0" borderId="83" xfId="52" applyFont="1" applyBorder="1" applyAlignment="1">
      <alignment horizontal="center" vertical="center" wrapText="1"/>
    </xf>
    <xf numFmtId="44" fontId="24" fillId="0" borderId="84" xfId="52" applyFont="1" applyBorder="1" applyAlignment="1">
      <alignment horizontal="center" vertical="center" wrapText="1"/>
    </xf>
    <xf numFmtId="44" fontId="24" fillId="0" borderId="68" xfId="52" applyFont="1" applyBorder="1" applyAlignment="1">
      <alignment horizontal="center" vertical="center" wrapText="1"/>
    </xf>
    <xf numFmtId="44" fontId="24" fillId="0" borderId="0" xfId="52" applyFont="1" applyAlignment="1">
      <alignment horizontal="center" vertical="center" wrapText="1"/>
    </xf>
    <xf numFmtId="44" fontId="24" fillId="0" borderId="92" xfId="52" applyFont="1" applyBorder="1" applyAlignment="1">
      <alignment horizontal="center" vertical="center" wrapText="1"/>
    </xf>
    <xf numFmtId="44" fontId="24" fillId="0" borderId="123" xfId="52" applyFont="1" applyBorder="1" applyAlignment="1">
      <alignment horizontal="center" vertical="center" wrapText="1"/>
    </xf>
    <xf numFmtId="44" fontId="24" fillId="0" borderId="55" xfId="52" applyFont="1" applyBorder="1" applyAlignment="1">
      <alignment horizontal="center" vertical="center" wrapText="1"/>
    </xf>
    <xf numFmtId="44" fontId="24" fillId="0" borderId="69" xfId="52" applyFont="1" applyBorder="1" applyAlignment="1">
      <alignment horizontal="center" vertical="center" wrapText="1"/>
    </xf>
    <xf numFmtId="44" fontId="25" fillId="0" borderId="1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 wrapText="1"/>
    </xf>
    <xf numFmtId="9" fontId="24" fillId="4" borderId="121" xfId="0" applyNumberFormat="1" applyFont="1" applyFill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4" fillId="4" borderId="122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92" xfId="0" applyFont="1" applyFill="1" applyBorder="1" applyAlignment="1">
      <alignment horizontal="center" vertical="center" wrapText="1"/>
    </xf>
    <xf numFmtId="0" fontId="24" fillId="4" borderId="123" xfId="0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44" fontId="24" fillId="0" borderId="121" xfId="52" applyFont="1" applyBorder="1" applyAlignment="1">
      <alignment horizontal="center" vertical="center" wrapText="1"/>
    </xf>
    <xf numFmtId="44" fontId="24" fillId="0" borderId="72" xfId="52" applyFont="1" applyBorder="1" applyAlignment="1">
      <alignment horizontal="center" vertical="center" wrapText="1"/>
    </xf>
    <xf numFmtId="44" fontId="24" fillId="0" borderId="122" xfId="52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39" fillId="4" borderId="82" xfId="0" applyFont="1" applyFill="1" applyBorder="1" applyAlignment="1">
      <alignment horizontal="center" vertical="center" wrapText="1"/>
    </xf>
    <xf numFmtId="0" fontId="39" fillId="4" borderId="83" xfId="0" applyFont="1" applyFill="1" applyBorder="1" applyAlignment="1">
      <alignment horizontal="center" vertical="center" wrapText="1"/>
    </xf>
    <xf numFmtId="0" fontId="39" fillId="4" borderId="84" xfId="0" applyFont="1" applyFill="1" applyBorder="1" applyAlignment="1">
      <alignment horizontal="center" vertical="center" wrapText="1"/>
    </xf>
    <xf numFmtId="0" fontId="39" fillId="4" borderId="24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39" fillId="4" borderId="92" xfId="0" applyFont="1" applyFill="1" applyBorder="1" applyAlignment="1">
      <alignment horizontal="center" vertical="center" wrapText="1"/>
    </xf>
    <xf numFmtId="0" fontId="39" fillId="4" borderId="25" xfId="0" applyFont="1" applyFill="1" applyBorder="1" applyAlignment="1">
      <alignment horizontal="center" vertical="center" wrapText="1"/>
    </xf>
    <xf numFmtId="0" fontId="39" fillId="4" borderId="71" xfId="0" applyFont="1" applyFill="1" applyBorder="1" applyAlignment="1">
      <alignment horizontal="center" vertical="center" wrapText="1"/>
    </xf>
    <xf numFmtId="0" fontId="39" fillId="4" borderId="86" xfId="0" applyFont="1" applyFill="1" applyBorder="1" applyAlignment="1">
      <alignment horizontal="center" vertical="center" wrapText="1"/>
    </xf>
    <xf numFmtId="44" fontId="25" fillId="0" borderId="91" xfId="52" applyFont="1" applyBorder="1" applyAlignment="1">
      <alignment vertical="center" wrapText="1"/>
    </xf>
    <xf numFmtId="44" fontId="25" fillId="0" borderId="83" xfId="52" applyFont="1" applyBorder="1" applyAlignment="1">
      <alignment vertical="center" wrapText="1"/>
    </xf>
    <xf numFmtId="44" fontId="25" fillId="0" borderId="84" xfId="52" applyFont="1" applyBorder="1" applyAlignment="1">
      <alignment vertical="center" wrapText="1"/>
    </xf>
    <xf numFmtId="44" fontId="25" fillId="0" borderId="68" xfId="52" applyFont="1" applyBorder="1" applyAlignment="1">
      <alignment vertical="center" wrapText="1"/>
    </xf>
    <xf numFmtId="44" fontId="25" fillId="0" borderId="0" xfId="52" applyFont="1" applyAlignment="1">
      <alignment vertical="center" wrapText="1"/>
    </xf>
    <xf numFmtId="44" fontId="25" fillId="0" borderId="92" xfId="52" applyFont="1" applyBorder="1" applyAlignment="1">
      <alignment vertical="center" wrapText="1"/>
    </xf>
    <xf numFmtId="44" fontId="25" fillId="0" borderId="93" xfId="52" applyFont="1" applyBorder="1" applyAlignment="1">
      <alignment vertical="center" wrapText="1"/>
    </xf>
    <xf numFmtId="44" fontId="25" fillId="0" borderId="71" xfId="52" applyFont="1" applyBorder="1" applyAlignment="1">
      <alignment vertical="center" wrapText="1"/>
    </xf>
    <xf numFmtId="44" fontId="25" fillId="0" borderId="86" xfId="52" applyFont="1" applyBorder="1" applyAlignment="1">
      <alignment vertical="center" wrapText="1"/>
    </xf>
    <xf numFmtId="44" fontId="25" fillId="0" borderId="85" xfId="52" applyFont="1" applyBorder="1" applyAlignment="1">
      <alignment vertical="center" wrapText="1"/>
    </xf>
    <xf numFmtId="44" fontId="25" fillId="0" borderId="26" xfId="52" applyFont="1" applyBorder="1" applyAlignment="1">
      <alignment vertical="center" wrapText="1"/>
    </xf>
    <xf numFmtId="44" fontId="25" fillId="0" borderId="27" xfId="52" applyFont="1" applyBorder="1" applyAlignment="1">
      <alignment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4" fontId="25" fillId="0" borderId="82" xfId="0" applyNumberFormat="1" applyFont="1" applyBorder="1" applyAlignment="1">
      <alignment horizontal="center" vertical="center" wrapText="1"/>
    </xf>
    <xf numFmtId="9" fontId="24" fillId="4" borderId="91" xfId="0" applyNumberFormat="1" applyFont="1" applyFill="1" applyBorder="1" applyAlignment="1">
      <alignment horizontal="center" vertical="center" wrapText="1"/>
    </xf>
    <xf numFmtId="0" fontId="24" fillId="4" borderId="83" xfId="0" applyFont="1" applyFill="1" applyBorder="1" applyAlignment="1">
      <alignment horizontal="center" vertical="center" wrapText="1"/>
    </xf>
    <xf numFmtId="0" fontId="24" fillId="4" borderId="84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left"/>
    </xf>
    <xf numFmtId="0" fontId="12" fillId="0" borderId="104" xfId="0" applyFont="1" applyFill="1" applyBorder="1" applyAlignment="1">
      <alignment horizontal="left"/>
    </xf>
    <xf numFmtId="0" fontId="12" fillId="0" borderId="126" xfId="0" applyFont="1" applyFill="1" applyBorder="1" applyAlignment="1">
      <alignment horizontal="left"/>
    </xf>
    <xf numFmtId="0" fontId="12" fillId="0" borderId="127" xfId="0" applyFont="1" applyFill="1" applyBorder="1" applyAlignment="1">
      <alignment horizontal="left"/>
    </xf>
    <xf numFmtId="0" fontId="12" fillId="0" borderId="128" xfId="0" applyFont="1" applyFill="1" applyBorder="1" applyAlignment="1">
      <alignment horizontal="left"/>
    </xf>
    <xf numFmtId="0" fontId="12" fillId="0" borderId="57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4" fillId="0" borderId="58" xfId="52" applyNumberFormat="1" applyFont="1" applyFill="1" applyBorder="1" applyAlignment="1">
      <alignment horizontal="left"/>
    </xf>
    <xf numFmtId="0" fontId="14" fillId="0" borderId="55" xfId="52" applyNumberFormat="1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4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06" xfId="0" applyFont="1" applyFill="1" applyBorder="1" applyAlignment="1">
      <alignment horizontal="left"/>
    </xf>
    <xf numFmtId="0" fontId="12" fillId="0" borderId="10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0" fillId="0" borderId="0" xfId="0" applyAlignment="1">
      <alignment horizontal="right"/>
    </xf>
    <xf numFmtId="167" fontId="24" fillId="0" borderId="82" xfId="0" applyNumberFormat="1" applyFont="1" applyBorder="1" applyAlignment="1">
      <alignment horizontal="left" vertical="center" wrapText="1"/>
    </xf>
    <xf numFmtId="0" fontId="24" fillId="0" borderId="83" xfId="0" applyFont="1" applyBorder="1" applyAlignment="1">
      <alignment horizontal="left" vertical="center"/>
    </xf>
    <xf numFmtId="0" fontId="24" fillId="0" borderId="85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175" fontId="24" fillId="0" borderId="82" xfId="0" applyNumberFormat="1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67" fontId="24" fillId="0" borderId="82" xfId="51" applyFont="1" applyBorder="1" applyAlignment="1">
      <alignment horizontal="center" vertical="center" wrapText="1"/>
    </xf>
    <xf numFmtId="167" fontId="24" fillId="0" borderId="83" xfId="51" applyFont="1" applyBorder="1" applyAlignment="1">
      <alignment horizontal="center" vertical="center"/>
    </xf>
    <xf numFmtId="167" fontId="24" fillId="0" borderId="85" xfId="51" applyFont="1" applyBorder="1" applyAlignment="1">
      <alignment horizontal="center" vertical="center"/>
    </xf>
    <xf numFmtId="167" fontId="24" fillId="0" borderId="25" xfId="51" applyFont="1" applyBorder="1" applyAlignment="1">
      <alignment horizontal="center" vertical="center"/>
    </xf>
    <xf numFmtId="167" fontId="24" fillId="0" borderId="71" xfId="51" applyFont="1" applyBorder="1" applyAlignment="1">
      <alignment horizontal="center" vertical="center"/>
    </xf>
    <xf numFmtId="167" fontId="24" fillId="0" borderId="27" xfId="51" applyFont="1" applyBorder="1" applyAlignment="1">
      <alignment horizontal="center" vertical="center"/>
    </xf>
    <xf numFmtId="167" fontId="24" fillId="0" borderId="82" xfId="0" applyNumberFormat="1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2" fontId="24" fillId="0" borderId="82" xfId="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175" fontId="35" fillId="0" borderId="82" xfId="0" applyNumberFormat="1" applyFont="1" applyFill="1" applyBorder="1" applyAlignment="1">
      <alignment horizontal="center" vertical="center"/>
    </xf>
    <xf numFmtId="175" fontId="35" fillId="0" borderId="83" xfId="0" applyNumberFormat="1" applyFont="1" applyFill="1" applyBorder="1" applyAlignment="1">
      <alignment horizontal="center" vertical="center"/>
    </xf>
    <xf numFmtId="175" fontId="35" fillId="0" borderId="85" xfId="0" applyNumberFormat="1" applyFont="1" applyFill="1" applyBorder="1" applyAlignment="1">
      <alignment horizontal="center" vertical="center"/>
    </xf>
    <xf numFmtId="175" fontId="35" fillId="0" borderId="25" xfId="0" applyNumberFormat="1" applyFont="1" applyFill="1" applyBorder="1" applyAlignment="1">
      <alignment horizontal="center" vertical="center"/>
    </xf>
    <xf numFmtId="175" fontId="35" fillId="0" borderId="71" xfId="0" applyNumberFormat="1" applyFont="1" applyFill="1" applyBorder="1" applyAlignment="1">
      <alignment horizontal="center" vertical="center"/>
    </xf>
    <xf numFmtId="175" fontId="35" fillId="0" borderId="27" xfId="0" applyNumberFormat="1" applyFont="1" applyFill="1" applyBorder="1" applyAlignment="1">
      <alignment horizontal="center" vertical="center"/>
    </xf>
    <xf numFmtId="175" fontId="24" fillId="0" borderId="82" xfId="0" applyNumberFormat="1" applyFont="1" applyBorder="1" applyAlignment="1">
      <alignment horizontal="center" vertical="center" wrapText="1"/>
    </xf>
    <xf numFmtId="0" fontId="3" fillId="26" borderId="82" xfId="0" applyFont="1" applyFill="1" applyBorder="1" applyAlignment="1">
      <alignment horizontal="center" wrapText="1"/>
    </xf>
    <xf numFmtId="0" fontId="3" fillId="26" borderId="83" xfId="0" applyFont="1" applyFill="1" applyBorder="1" applyAlignment="1">
      <alignment horizontal="center"/>
    </xf>
    <xf numFmtId="0" fontId="3" fillId="26" borderId="85" xfId="0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/>
    </xf>
    <xf numFmtId="0" fontId="3" fillId="26" borderId="71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center"/>
    </xf>
    <xf numFmtId="0" fontId="3" fillId="26" borderId="82" xfId="0" applyFont="1" applyFill="1" applyBorder="1" applyAlignment="1">
      <alignment horizontal="center" vertical="center" wrapText="1"/>
    </xf>
    <xf numFmtId="0" fontId="3" fillId="26" borderId="83" xfId="0" applyFont="1" applyFill="1" applyBorder="1" applyAlignment="1">
      <alignment horizontal="center" vertical="center"/>
    </xf>
    <xf numFmtId="0" fontId="3" fillId="26" borderId="85" xfId="0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/>
    </xf>
    <xf numFmtId="0" fontId="3" fillId="26" borderId="71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43" fontId="35" fillId="0" borderId="82" xfId="0" applyNumberFormat="1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173" fontId="3" fillId="0" borderId="82" xfId="51" applyNumberFormat="1" applyFont="1" applyBorder="1" applyAlignment="1">
      <alignment horizontal="center" vertical="center"/>
    </xf>
    <xf numFmtId="173" fontId="3" fillId="0" borderId="83" xfId="51" applyNumberFormat="1" applyFont="1" applyBorder="1" applyAlignment="1">
      <alignment horizontal="center" vertical="center"/>
    </xf>
    <xf numFmtId="173" fontId="3" fillId="0" borderId="85" xfId="51" applyNumberFormat="1" applyFont="1" applyBorder="1" applyAlignment="1">
      <alignment horizontal="center" vertical="center"/>
    </xf>
    <xf numFmtId="173" fontId="3" fillId="0" borderId="25" xfId="51" applyNumberFormat="1" applyFont="1" applyBorder="1" applyAlignment="1">
      <alignment horizontal="center" vertical="center"/>
    </xf>
    <xf numFmtId="173" fontId="3" fillId="0" borderId="71" xfId="51" applyNumberFormat="1" applyFont="1" applyBorder="1" applyAlignment="1">
      <alignment horizontal="center" vertical="center"/>
    </xf>
    <xf numFmtId="173" fontId="3" fillId="0" borderId="27" xfId="51" applyNumberFormat="1" applyFont="1" applyBorder="1" applyAlignment="1">
      <alignment horizontal="center" vertical="center"/>
    </xf>
    <xf numFmtId="0" fontId="3" fillId="26" borderId="45" xfId="0" applyFont="1" applyFill="1" applyBorder="1" applyAlignment="1">
      <alignment horizontal="center"/>
    </xf>
    <xf numFmtId="0" fontId="3" fillId="26" borderId="110" xfId="0" applyFont="1" applyFill="1" applyBorder="1" applyAlignment="1">
      <alignment horizontal="center"/>
    </xf>
    <xf numFmtId="0" fontId="3" fillId="26" borderId="46" xfId="0" applyFont="1" applyFill="1" applyBorder="1" applyAlignment="1">
      <alignment horizontal="center"/>
    </xf>
    <xf numFmtId="43" fontId="35" fillId="0" borderId="82" xfId="0" applyNumberFormat="1" applyFont="1" applyBorder="1" applyAlignment="1">
      <alignment horizontal="right" vertical="center"/>
    </xf>
    <xf numFmtId="0" fontId="35" fillId="0" borderId="83" xfId="0" applyFont="1" applyBorder="1" applyAlignment="1">
      <alignment horizontal="right" vertical="center"/>
    </xf>
    <xf numFmtId="0" fontId="35" fillId="0" borderId="85" xfId="0" applyFont="1" applyBorder="1" applyAlignment="1">
      <alignment horizontal="right" vertical="center"/>
    </xf>
    <xf numFmtId="0" fontId="35" fillId="0" borderId="25" xfId="0" applyFont="1" applyBorder="1" applyAlignment="1">
      <alignment horizontal="right" vertical="center"/>
    </xf>
    <xf numFmtId="0" fontId="35" fillId="0" borderId="71" xfId="0" applyFont="1" applyBorder="1" applyAlignment="1">
      <alignment horizontal="right" vertical="center"/>
    </xf>
    <xf numFmtId="0" fontId="35" fillId="0" borderId="27" xfId="0" applyFont="1" applyBorder="1" applyAlignment="1">
      <alignment horizontal="right" vertical="center"/>
    </xf>
    <xf numFmtId="167" fontId="35" fillId="0" borderId="82" xfId="0" applyNumberFormat="1" applyFont="1" applyBorder="1" applyAlignment="1">
      <alignment horizontal="center" vertical="center"/>
    </xf>
    <xf numFmtId="178" fontId="0" fillId="2" borderId="30" xfId="0" applyNumberFormat="1" applyFill="1" applyBorder="1" applyAlignment="1">
      <alignment horizontal="center"/>
    </xf>
    <xf numFmtId="178" fontId="0" fillId="2" borderId="70" xfId="0" applyNumberFormat="1" applyFill="1" applyBorder="1" applyAlignment="1">
      <alignment horizontal="center"/>
    </xf>
    <xf numFmtId="178" fontId="0" fillId="2" borderId="31" xfId="0" applyNumberFormat="1" applyFill="1" applyBorder="1" applyAlignment="1">
      <alignment horizontal="center"/>
    </xf>
    <xf numFmtId="173" fontId="0" fillId="2" borderId="24" xfId="51" applyNumberFormat="1" applyFont="1" applyFill="1" applyBorder="1" applyAlignment="1">
      <alignment/>
    </xf>
    <xf numFmtId="173" fontId="0" fillId="2" borderId="0" xfId="51" applyNumberFormat="1" applyFont="1" applyFill="1" applyBorder="1" applyAlignment="1">
      <alignment/>
    </xf>
    <xf numFmtId="173" fontId="0" fillId="2" borderId="26" xfId="51" applyNumberFormat="1" applyFont="1" applyFill="1" applyBorder="1" applyAlignment="1">
      <alignment/>
    </xf>
    <xf numFmtId="173" fontId="0" fillId="2" borderId="129" xfId="51" applyNumberFormat="1" applyFont="1" applyFill="1" applyBorder="1" applyAlignment="1">
      <alignment/>
    </xf>
    <xf numFmtId="174" fontId="24" fillId="4" borderId="82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73" fontId="35" fillId="0" borderId="82" xfId="51" applyNumberFormat="1" applyFont="1" applyBorder="1" applyAlignment="1">
      <alignment horizontal="center" vertical="center" wrapText="1"/>
    </xf>
    <xf numFmtId="173" fontId="35" fillId="0" borderId="83" xfId="51" applyNumberFormat="1" applyFont="1" applyBorder="1" applyAlignment="1">
      <alignment horizontal="center" vertical="center"/>
    </xf>
    <xf numFmtId="173" fontId="35" fillId="0" borderId="85" xfId="51" applyNumberFormat="1" applyFont="1" applyBorder="1" applyAlignment="1">
      <alignment horizontal="center" vertical="center"/>
    </xf>
    <xf numFmtId="173" fontId="35" fillId="0" borderId="25" xfId="51" applyNumberFormat="1" applyFont="1" applyBorder="1" applyAlignment="1">
      <alignment horizontal="center" vertical="center"/>
    </xf>
    <xf numFmtId="173" fontId="35" fillId="0" borderId="71" xfId="51" applyNumberFormat="1" applyFont="1" applyBorder="1" applyAlignment="1">
      <alignment horizontal="center" vertical="center"/>
    </xf>
    <xf numFmtId="173" fontId="35" fillId="0" borderId="27" xfId="51" applyNumberFormat="1" applyFont="1" applyBorder="1" applyAlignment="1">
      <alignment horizontal="center" vertical="center"/>
    </xf>
    <xf numFmtId="2" fontId="24" fillId="0" borderId="82" xfId="0" applyNumberFormat="1" applyFont="1" applyBorder="1" applyAlignment="1">
      <alignment horizontal="center" vertical="center"/>
    </xf>
    <xf numFmtId="2" fontId="24" fillId="0" borderId="83" xfId="0" applyNumberFormat="1" applyFont="1" applyBorder="1" applyAlignment="1">
      <alignment horizontal="center" vertical="center"/>
    </xf>
    <xf numFmtId="2" fontId="24" fillId="0" borderId="85" xfId="0" applyNumberFormat="1" applyFont="1" applyBorder="1" applyAlignment="1">
      <alignment horizontal="center" vertical="center"/>
    </xf>
    <xf numFmtId="2" fontId="24" fillId="0" borderId="25" xfId="0" applyNumberFormat="1" applyFont="1" applyBorder="1" applyAlignment="1">
      <alignment horizontal="center" vertical="center"/>
    </xf>
    <xf numFmtId="2" fontId="24" fillId="0" borderId="71" xfId="0" applyNumberFormat="1" applyFont="1" applyBorder="1" applyAlignment="1">
      <alignment horizontal="center" vertical="center"/>
    </xf>
    <xf numFmtId="2" fontId="24" fillId="0" borderId="27" xfId="0" applyNumberFormat="1" applyFont="1" applyBorder="1" applyAlignment="1">
      <alignment horizontal="center" vertical="center"/>
    </xf>
    <xf numFmtId="0" fontId="44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7" xfId="0" applyBorder="1" applyAlignment="1">
      <alignment horizontal="center"/>
    </xf>
    <xf numFmtId="167" fontId="3" fillId="26" borderId="45" xfId="51" applyFont="1" applyFill="1" applyBorder="1" applyAlignment="1">
      <alignment/>
    </xf>
    <xf numFmtId="167" fontId="3" fillId="26" borderId="110" xfId="51" applyFont="1" applyFill="1" applyBorder="1" applyAlignment="1">
      <alignment/>
    </xf>
    <xf numFmtId="167" fontId="3" fillId="26" borderId="46" xfId="51" applyFont="1" applyFill="1" applyBorder="1" applyAlignment="1">
      <alignment/>
    </xf>
    <xf numFmtId="178" fontId="0" fillId="2" borderId="130" xfId="0" applyNumberFormat="1" applyFont="1" applyFill="1" applyBorder="1" applyAlignment="1">
      <alignment horizontal="center"/>
    </xf>
    <xf numFmtId="178" fontId="0" fillId="2" borderId="88" xfId="0" applyNumberFormat="1" applyFont="1" applyFill="1" applyBorder="1" applyAlignment="1">
      <alignment horizontal="center"/>
    </xf>
    <xf numFmtId="178" fontId="0" fillId="2" borderId="9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41" fillId="0" borderId="58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13" fillId="0" borderId="4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1" fillId="0" borderId="48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14" fillId="0" borderId="58" xfId="52" applyNumberFormat="1" applyFont="1" applyFill="1" applyBorder="1" applyAlignment="1">
      <alignment horizontal="left"/>
    </xf>
    <xf numFmtId="49" fontId="14" fillId="0" borderId="55" xfId="52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2" fillId="0" borderId="64" xfId="0" applyFont="1" applyFill="1" applyBorder="1" applyAlignment="1">
      <alignment/>
    </xf>
    <xf numFmtId="0" fontId="12" fillId="0" borderId="104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_Hoja1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88"/>
  <sheetViews>
    <sheetView zoomScale="160" zoomScaleNormal="160" zoomScalePageLayoutView="0" workbookViewId="0" topLeftCell="A19">
      <selection activeCell="H26" sqref="H26"/>
    </sheetView>
  </sheetViews>
  <sheetFormatPr defaultColWidth="11.421875" defaultRowHeight="12.75"/>
  <cols>
    <col min="1" max="1" width="11.421875" style="177" customWidth="1"/>
    <col min="2" max="2" width="12.421875" style="174" customWidth="1"/>
    <col min="3" max="3" width="12.8515625" style="177" customWidth="1"/>
    <col min="4" max="4" width="14.7109375" style="174" customWidth="1"/>
    <col min="5" max="5" width="13.7109375" style="177" customWidth="1"/>
    <col min="6" max="6" width="13.421875" style="174" customWidth="1"/>
    <col min="7" max="7" width="17.7109375" style="177" customWidth="1"/>
    <col min="8" max="8" width="17.7109375" style="174" customWidth="1"/>
    <col min="9" max="9" width="11.421875" style="174" customWidth="1"/>
  </cols>
  <sheetData>
    <row r="1" spans="1:12" s="100" customFormat="1" ht="15.75" thickTop="1">
      <c r="A1" s="98" t="s">
        <v>84</v>
      </c>
      <c r="B1" s="458"/>
      <c r="C1" s="458"/>
      <c r="D1" s="458"/>
      <c r="E1" s="300" t="s">
        <v>85</v>
      </c>
      <c r="F1" s="456" t="s">
        <v>469</v>
      </c>
      <c r="G1" s="456"/>
      <c r="H1" s="457"/>
      <c r="I1" s="99"/>
      <c r="L1" s="331" t="s">
        <v>86</v>
      </c>
    </row>
    <row r="2" spans="1:12" s="100" customFormat="1" ht="15">
      <c r="A2" s="101" t="s">
        <v>87</v>
      </c>
      <c r="B2" s="451"/>
      <c r="C2" s="451"/>
      <c r="D2" s="451"/>
      <c r="E2" s="296" t="s">
        <v>88</v>
      </c>
      <c r="F2" s="416"/>
      <c r="G2" s="295" t="s">
        <v>89</v>
      </c>
      <c r="H2" s="400" t="s">
        <v>404</v>
      </c>
      <c r="I2" s="99"/>
      <c r="L2" s="331" t="s">
        <v>90</v>
      </c>
    </row>
    <row r="3" spans="1:9" s="100" customFormat="1" ht="15">
      <c r="A3" s="101" t="s">
        <v>91</v>
      </c>
      <c r="B3" s="451"/>
      <c r="C3" s="451"/>
      <c r="D3" s="103" t="s">
        <v>92</v>
      </c>
      <c r="E3" s="455" t="s">
        <v>467</v>
      </c>
      <c r="F3" s="455"/>
      <c r="G3" s="431" t="s">
        <v>93</v>
      </c>
      <c r="H3" s="401" t="s">
        <v>94</v>
      </c>
      <c r="I3" s="99"/>
    </row>
    <row r="4" spans="1:14" s="100" customFormat="1" ht="15">
      <c r="A4" s="301" t="s">
        <v>95</v>
      </c>
      <c r="B4" s="451"/>
      <c r="C4" s="451"/>
      <c r="D4" s="298" t="s">
        <v>96</v>
      </c>
      <c r="E4" s="399">
        <v>3</v>
      </c>
      <c r="F4" s="196"/>
      <c r="G4" s="432" t="s">
        <v>97</v>
      </c>
      <c r="H4" s="402">
        <v>32143</v>
      </c>
      <c r="I4" s="99"/>
      <c r="J4" s="210"/>
      <c r="K4" s="210"/>
      <c r="L4" s="332" t="s">
        <v>424</v>
      </c>
      <c r="M4" s="210"/>
      <c r="N4" s="210"/>
    </row>
    <row r="5" spans="1:14" s="100" customFormat="1" ht="15">
      <c r="A5" s="111"/>
      <c r="B5" s="112"/>
      <c r="C5" s="113"/>
      <c r="D5" s="112"/>
      <c r="E5" s="113"/>
      <c r="F5" s="433" t="s">
        <v>98</v>
      </c>
      <c r="G5" s="302"/>
      <c r="H5" s="403">
        <v>2</v>
      </c>
      <c r="I5" s="99"/>
      <c r="J5" s="210"/>
      <c r="K5" s="210"/>
      <c r="L5" s="332"/>
      <c r="M5" s="210"/>
      <c r="N5" s="210"/>
    </row>
    <row r="6" spans="1:14" s="100" customFormat="1" ht="15.75" thickBot="1">
      <c r="A6" s="446" t="s">
        <v>99</v>
      </c>
      <c r="B6" s="447"/>
      <c r="C6" s="428" t="s">
        <v>468</v>
      </c>
      <c r="D6" s="398">
        <v>2016</v>
      </c>
      <c r="E6" s="303" t="s">
        <v>406</v>
      </c>
      <c r="F6" s="434">
        <v>21</v>
      </c>
      <c r="G6" s="430" t="s">
        <v>461</v>
      </c>
      <c r="H6" s="429">
        <v>30</v>
      </c>
      <c r="I6" s="99"/>
      <c r="J6" s="210"/>
      <c r="K6" s="210"/>
      <c r="L6" s="210"/>
      <c r="M6" s="210"/>
      <c r="N6" s="210"/>
    </row>
    <row r="7" spans="1:14" s="107" customFormat="1" ht="15.75" thickTop="1">
      <c r="A7" s="104" t="s">
        <v>100</v>
      </c>
      <c r="B7" s="103"/>
      <c r="C7" s="105"/>
      <c r="D7" s="103"/>
      <c r="E7" s="326" t="s">
        <v>423</v>
      </c>
      <c r="F7" s="418" t="s">
        <v>90</v>
      </c>
      <c r="G7" s="325"/>
      <c r="H7" s="208" t="s">
        <v>101</v>
      </c>
      <c r="I7" s="106"/>
      <c r="J7" s="211"/>
      <c r="K7" s="211"/>
      <c r="L7" s="211"/>
      <c r="M7" s="211"/>
      <c r="N7" s="211"/>
    </row>
    <row r="8" spans="1:14" s="100" customFormat="1" ht="15.75">
      <c r="A8" s="108"/>
      <c r="B8" s="109"/>
      <c r="C8" s="109"/>
      <c r="D8" s="103" t="s">
        <v>354</v>
      </c>
      <c r="E8" s="452" t="s">
        <v>462</v>
      </c>
      <c r="F8" s="452"/>
      <c r="G8" s="452"/>
      <c r="H8" s="110"/>
      <c r="I8" s="99"/>
      <c r="J8" s="210"/>
      <c r="K8" s="210"/>
      <c r="L8" s="210"/>
      <c r="M8" s="210"/>
      <c r="N8" s="210"/>
    </row>
    <row r="9" spans="1:14" s="100" customFormat="1" ht="15.75" thickBot="1">
      <c r="A9" s="111" t="s">
        <v>102</v>
      </c>
      <c r="B9" s="112"/>
      <c r="C9" s="113"/>
      <c r="D9" s="112"/>
      <c r="E9" s="113"/>
      <c r="F9" s="112"/>
      <c r="G9" s="113"/>
      <c r="H9" s="114"/>
      <c r="I9" s="99"/>
      <c r="J9" s="210"/>
      <c r="K9" s="210"/>
      <c r="L9" s="210"/>
      <c r="M9" s="210"/>
      <c r="N9" s="210"/>
    </row>
    <row r="10" spans="1:14" s="100" customFormat="1" ht="22.5" customHeight="1">
      <c r="A10" s="111"/>
      <c r="B10" s="112"/>
      <c r="C10" s="113"/>
      <c r="D10" s="115" t="s">
        <v>103</v>
      </c>
      <c r="E10" s="115" t="s">
        <v>104</v>
      </c>
      <c r="F10" s="112"/>
      <c r="G10" s="113"/>
      <c r="H10" s="114"/>
      <c r="I10" s="99"/>
      <c r="J10" s="210"/>
      <c r="K10" s="210"/>
      <c r="L10" s="210"/>
      <c r="M10" s="210"/>
      <c r="N10" s="210"/>
    </row>
    <row r="11" spans="1:14" s="100" customFormat="1" ht="16.5" thickBot="1">
      <c r="A11" s="459" t="s">
        <v>105</v>
      </c>
      <c r="B11" s="448"/>
      <c r="C11" s="449"/>
      <c r="D11" s="404">
        <v>1200</v>
      </c>
      <c r="E11" s="405">
        <v>30</v>
      </c>
      <c r="F11" s="116"/>
      <c r="G11" s="291">
        <f>IF(H3="D",D11*E11,IF(D11=30,D11,D11/30*E11))</f>
        <v>1200</v>
      </c>
      <c r="H11" s="110"/>
      <c r="I11" s="99"/>
      <c r="J11" s="210"/>
      <c r="K11" s="210"/>
      <c r="L11" s="210"/>
      <c r="M11" s="210"/>
      <c r="N11" s="210"/>
    </row>
    <row r="12" spans="1:14" s="100" customFormat="1" ht="15.75">
      <c r="A12" s="111" t="s">
        <v>97</v>
      </c>
      <c r="B12" s="112"/>
      <c r="C12" s="406">
        <v>0.25</v>
      </c>
      <c r="D12" s="117"/>
      <c r="E12" s="109"/>
      <c r="F12" s="109"/>
      <c r="G12" s="118">
        <f>G11*C12</f>
        <v>300</v>
      </c>
      <c r="H12" s="110"/>
      <c r="I12" s="99"/>
      <c r="J12" s="210"/>
      <c r="K12" s="210"/>
      <c r="L12" s="210"/>
      <c r="M12" s="210"/>
      <c r="N12" s="210"/>
    </row>
    <row r="13" spans="1:14" s="100" customFormat="1" ht="15.75">
      <c r="A13" s="111" t="s">
        <v>106</v>
      </c>
      <c r="B13" s="112"/>
      <c r="C13" s="113"/>
      <c r="D13" s="119" t="s">
        <v>107</v>
      </c>
      <c r="E13" s="109"/>
      <c r="F13" s="109"/>
      <c r="G13" s="120"/>
      <c r="H13" s="110"/>
      <c r="I13" s="99"/>
      <c r="J13" s="210"/>
      <c r="K13" s="210"/>
      <c r="L13" s="210"/>
      <c r="M13" s="210"/>
      <c r="N13" s="210"/>
    </row>
    <row r="14" spans="1:14" s="100" customFormat="1" ht="15.75">
      <c r="A14" s="453" t="s">
        <v>356</v>
      </c>
      <c r="B14" s="454"/>
      <c r="C14" s="407" t="s">
        <v>424</v>
      </c>
      <c r="D14" s="119" t="s">
        <v>90</v>
      </c>
      <c r="E14" s="409">
        <v>122.3</v>
      </c>
      <c r="F14" s="127" t="s">
        <v>402</v>
      </c>
      <c r="G14" s="122">
        <f>((E14*E11)/$E$11)</f>
        <v>122.3</v>
      </c>
      <c r="H14" s="110"/>
      <c r="I14" s="123">
        <f aca="true" t="shared" si="0" ref="I14:I19">IF(D14="NO","",G14)</f>
      </c>
      <c r="J14" s="210"/>
      <c r="K14" s="210"/>
      <c r="L14" s="210"/>
      <c r="M14" s="210"/>
      <c r="N14" s="210"/>
    </row>
    <row r="15" spans="1:14" s="100" customFormat="1" ht="15.75">
      <c r="A15" s="460"/>
      <c r="B15" s="460"/>
      <c r="C15" s="407" t="s">
        <v>424</v>
      </c>
      <c r="D15" s="119" t="s">
        <v>90</v>
      </c>
      <c r="E15" s="409"/>
      <c r="F15" s="127" t="s">
        <v>402</v>
      </c>
      <c r="G15" s="122">
        <f>((E15*E12)/$E$11)</f>
        <v>0</v>
      </c>
      <c r="H15" s="110"/>
      <c r="I15" s="123">
        <f t="shared" si="0"/>
      </c>
      <c r="J15" s="212"/>
      <c r="K15" s="210"/>
      <c r="L15" s="210"/>
      <c r="M15" s="210"/>
      <c r="N15" s="210"/>
    </row>
    <row r="16" spans="1:9" s="100" customFormat="1" ht="15.75">
      <c r="A16" s="467"/>
      <c r="B16" s="468"/>
      <c r="C16" s="407"/>
      <c r="D16" s="119" t="s">
        <v>90</v>
      </c>
      <c r="E16" s="408"/>
      <c r="F16" s="127" t="s">
        <v>402</v>
      </c>
      <c r="G16" s="122">
        <f>((E16*E13)/$E$11)</f>
        <v>0</v>
      </c>
      <c r="H16" s="110"/>
      <c r="I16" s="123">
        <f t="shared" si="0"/>
      </c>
    </row>
    <row r="17" spans="1:9" s="100" customFormat="1" ht="15.75">
      <c r="A17" s="461" t="s">
        <v>470</v>
      </c>
      <c r="B17" s="462"/>
      <c r="C17" s="463"/>
      <c r="D17" s="119" t="s">
        <v>90</v>
      </c>
      <c r="E17" s="409">
        <v>3.07</v>
      </c>
      <c r="F17" s="127" t="s">
        <v>405</v>
      </c>
      <c r="G17" s="125">
        <f>E17*$F$6</f>
        <v>64.47</v>
      </c>
      <c r="H17" s="110"/>
      <c r="I17" s="123">
        <f t="shared" si="0"/>
      </c>
    </row>
    <row r="18" spans="1:9" s="100" customFormat="1" ht="16.5" thickBot="1">
      <c r="A18" s="464"/>
      <c r="B18" s="465"/>
      <c r="C18" s="466"/>
      <c r="D18" s="126" t="s">
        <v>90</v>
      </c>
      <c r="E18" s="409"/>
      <c r="F18" s="127" t="s">
        <v>405</v>
      </c>
      <c r="G18" s="125">
        <f>E18*$F$6</f>
        <v>0</v>
      </c>
      <c r="H18" s="110"/>
      <c r="I18" s="123">
        <f t="shared" si="0"/>
      </c>
    </row>
    <row r="19" spans="1:9" s="100" customFormat="1" ht="15.75">
      <c r="A19" s="111" t="s">
        <v>108</v>
      </c>
      <c r="B19" s="112"/>
      <c r="C19" s="127"/>
      <c r="D19" s="121"/>
      <c r="E19" s="121"/>
      <c r="F19" s="121"/>
      <c r="G19" s="396">
        <v>0</v>
      </c>
      <c r="H19" s="110"/>
      <c r="I19" s="99">
        <f t="shared" si="0"/>
        <v>0</v>
      </c>
    </row>
    <row r="20" spans="1:9" s="100" customFormat="1" ht="16.5" thickBot="1">
      <c r="A20" s="111" t="s">
        <v>109</v>
      </c>
      <c r="B20" s="112"/>
      <c r="C20" s="113"/>
      <c r="D20" s="128"/>
      <c r="E20" s="436" t="s">
        <v>471</v>
      </c>
      <c r="F20" s="124"/>
      <c r="G20" s="396">
        <v>157.6</v>
      </c>
      <c r="H20" s="110"/>
      <c r="I20" s="99"/>
    </row>
    <row r="21" spans="1:9" s="100" customFormat="1" ht="16.5" thickBot="1">
      <c r="A21" s="111" t="s">
        <v>110</v>
      </c>
      <c r="B21" s="112"/>
      <c r="C21" s="121"/>
      <c r="D21" s="121"/>
      <c r="E21" s="121"/>
      <c r="F21" s="121"/>
      <c r="G21" s="129"/>
      <c r="H21" s="308">
        <f>SUM(G11:G21)</f>
        <v>1844.37</v>
      </c>
      <c r="I21" s="106"/>
    </row>
    <row r="22" spans="1:9" s="100" customFormat="1" ht="15.75">
      <c r="A22" s="111" t="s">
        <v>111</v>
      </c>
      <c r="B22" s="112"/>
      <c r="C22" s="113"/>
      <c r="D22" s="438" t="s">
        <v>472</v>
      </c>
      <c r="E22" s="109"/>
      <c r="F22" s="109"/>
      <c r="G22" s="109"/>
      <c r="H22" s="110"/>
      <c r="I22" s="99"/>
    </row>
    <row r="23" spans="1:9" s="100" customFormat="1" ht="15.75">
      <c r="A23" s="194" t="s">
        <v>112</v>
      </c>
      <c r="B23" s="195"/>
      <c r="C23" s="196"/>
      <c r="D23" s="411"/>
      <c r="E23" s="411"/>
      <c r="F23" s="412"/>
      <c r="G23" s="120"/>
      <c r="H23" s="130"/>
      <c r="I23" s="99"/>
    </row>
    <row r="24" spans="1:9" s="100" customFormat="1" ht="15.75">
      <c r="A24" s="444" t="s">
        <v>172</v>
      </c>
      <c r="B24" s="445"/>
      <c r="C24" s="443"/>
      <c r="D24" s="413"/>
      <c r="E24" s="413"/>
      <c r="F24" s="413"/>
      <c r="G24" s="132">
        <f>SUM(D24:F24)</f>
        <v>0</v>
      </c>
      <c r="H24" s="130"/>
      <c r="I24" s="99"/>
    </row>
    <row r="25" spans="1:9" s="100" customFormat="1" ht="16.5" thickBot="1">
      <c r="A25" s="444" t="s">
        <v>171</v>
      </c>
      <c r="B25" s="445"/>
      <c r="C25" s="443"/>
      <c r="D25" s="413">
        <v>240.03</v>
      </c>
      <c r="E25" s="413"/>
      <c r="F25" s="413"/>
      <c r="G25" s="132">
        <f>SUM(D25:F25)</f>
        <v>240.03</v>
      </c>
      <c r="H25" s="133"/>
      <c r="I25" s="99"/>
    </row>
    <row r="26" spans="1:9" s="100" customFormat="1" ht="16.5" thickBot="1">
      <c r="A26" s="444" t="s">
        <v>113</v>
      </c>
      <c r="B26" s="445"/>
      <c r="C26" s="443"/>
      <c r="D26" s="413">
        <v>26.67</v>
      </c>
      <c r="E26" s="413"/>
      <c r="F26" s="413"/>
      <c r="G26" s="132">
        <f>SUM(D26:F26)</f>
        <v>26.67</v>
      </c>
      <c r="H26" s="309">
        <f>SUM(G24:G26)</f>
        <v>266.7</v>
      </c>
      <c r="I26" s="99"/>
    </row>
    <row r="27" spans="1:9" s="100" customFormat="1" ht="15.75">
      <c r="A27" s="111" t="s">
        <v>114</v>
      </c>
      <c r="B27" s="112"/>
      <c r="C27" s="113"/>
      <c r="D27" s="112"/>
      <c r="E27" s="113"/>
      <c r="F27" s="109"/>
      <c r="G27" s="120"/>
      <c r="H27" s="130"/>
      <c r="I27" s="99"/>
    </row>
    <row r="28" spans="1:9" s="100" customFormat="1" ht="16.5" thickBot="1">
      <c r="A28" s="134" t="s">
        <v>115</v>
      </c>
      <c r="B28" s="135"/>
      <c r="C28" s="136" t="s">
        <v>116</v>
      </c>
      <c r="D28" s="137"/>
      <c r="E28" s="137" t="s">
        <v>117</v>
      </c>
      <c r="F28" s="127" t="s">
        <v>118</v>
      </c>
      <c r="G28" s="138"/>
      <c r="H28" s="130"/>
      <c r="I28" s="99"/>
    </row>
    <row r="29" spans="1:9" s="100" customFormat="1" ht="16.5" thickBot="1">
      <c r="A29" s="139">
        <v>0</v>
      </c>
      <c r="B29" s="140"/>
      <c r="C29" s="140">
        <v>0</v>
      </c>
      <c r="D29" s="141"/>
      <c r="E29" s="141">
        <v>0</v>
      </c>
      <c r="F29" s="141">
        <v>0</v>
      </c>
      <c r="G29" s="142">
        <f>H29</f>
        <v>0</v>
      </c>
      <c r="H29" s="309">
        <f>(A29+C29+E29+F29)</f>
        <v>0</v>
      </c>
      <c r="I29" s="99"/>
    </row>
    <row r="30" spans="1:9" s="100" customFormat="1" ht="15.75">
      <c r="A30" s="194"/>
      <c r="B30" s="195"/>
      <c r="C30" s="199"/>
      <c r="D30" s="131"/>
      <c r="E30" s="131"/>
      <c r="F30" s="131">
        <f>D30-E30</f>
        <v>0</v>
      </c>
      <c r="G30" s="143"/>
      <c r="H30" s="130"/>
      <c r="I30" s="99"/>
    </row>
    <row r="31" spans="1:9" s="100" customFormat="1" ht="16.5" thickBot="1">
      <c r="A31" s="193" t="s">
        <v>119</v>
      </c>
      <c r="B31" s="197"/>
      <c r="C31" s="198"/>
      <c r="D31" s="131"/>
      <c r="E31" s="131"/>
      <c r="F31" s="131">
        <f>D31-E31</f>
        <v>0</v>
      </c>
      <c r="G31" s="144"/>
      <c r="H31" s="130"/>
      <c r="I31" s="99"/>
    </row>
    <row r="32" spans="1:9" s="107" customFormat="1" ht="16.5" thickBot="1">
      <c r="A32" s="104"/>
      <c r="B32" s="103"/>
      <c r="C32" s="200" t="s">
        <v>120</v>
      </c>
      <c r="D32" s="201"/>
      <c r="E32" s="200"/>
      <c r="F32" s="202">
        <f>F30-F31</f>
        <v>0</v>
      </c>
      <c r="G32" s="203"/>
      <c r="H32" s="310">
        <f>SUM(G11:G20)+H26+H29</f>
        <v>2111.0699999999997</v>
      </c>
      <c r="I32" s="106"/>
    </row>
    <row r="33" spans="1:9" s="100" customFormat="1" ht="15">
      <c r="A33" s="104"/>
      <c r="B33" s="103"/>
      <c r="C33" s="105"/>
      <c r="D33" s="147"/>
      <c r="E33" s="105"/>
      <c r="F33" s="103"/>
      <c r="G33" s="105"/>
      <c r="H33" s="130"/>
      <c r="I33" s="99"/>
    </row>
    <row r="34" spans="1:9" s="107" customFormat="1" ht="12.75">
      <c r="A34" s="104" t="s">
        <v>121</v>
      </c>
      <c r="B34" s="103"/>
      <c r="C34" s="105"/>
      <c r="D34" s="103"/>
      <c r="E34" s="105"/>
      <c r="F34" s="103"/>
      <c r="G34" s="105"/>
      <c r="H34" s="148"/>
      <c r="I34" s="106"/>
    </row>
    <row r="35" spans="1:9" s="107" customFormat="1" ht="12.75">
      <c r="A35" s="104" t="s">
        <v>122</v>
      </c>
      <c r="B35" s="103"/>
      <c r="C35" s="105"/>
      <c r="D35" s="147"/>
      <c r="E35" s="105"/>
      <c r="F35" s="103"/>
      <c r="G35" s="105"/>
      <c r="H35" s="149"/>
      <c r="I35" s="106"/>
    </row>
    <row r="36" spans="1:9" s="100" customFormat="1" ht="15">
      <c r="A36" s="111"/>
      <c r="B36" s="112"/>
      <c r="C36" s="113"/>
      <c r="D36" s="112"/>
      <c r="E36" s="150" t="s">
        <v>123</v>
      </c>
      <c r="F36" s="112"/>
      <c r="G36" s="302"/>
      <c r="H36" s="114"/>
      <c r="I36" s="99"/>
    </row>
    <row r="37" spans="1:9" s="100" customFormat="1" ht="15.75">
      <c r="A37" s="111" t="s">
        <v>124</v>
      </c>
      <c r="B37" s="112"/>
      <c r="C37" s="121"/>
      <c r="D37" s="183">
        <f>F61</f>
        <v>1963.44</v>
      </c>
      <c r="E37" s="152">
        <v>0.047</v>
      </c>
      <c r="F37" s="204"/>
      <c r="G37" s="122">
        <f>D37*E37</f>
        <v>92.28168000000001</v>
      </c>
      <c r="H37" s="110"/>
      <c r="I37" s="99"/>
    </row>
    <row r="38" spans="1:9" s="100" customFormat="1" ht="15.75">
      <c r="A38" s="111" t="s">
        <v>125</v>
      </c>
      <c r="B38" s="112"/>
      <c r="C38" s="124"/>
      <c r="D38" s="183">
        <f>F62</f>
        <v>2121.04</v>
      </c>
      <c r="E38" s="152">
        <v>0.0155</v>
      </c>
      <c r="F38" s="120"/>
      <c r="G38" s="122">
        <f>D38*E38</f>
        <v>32.87612</v>
      </c>
      <c r="H38" s="110"/>
      <c r="I38" s="99"/>
    </row>
    <row r="39" spans="1:9" s="100" customFormat="1" ht="15.75">
      <c r="A39" s="111" t="s">
        <v>126</v>
      </c>
      <c r="B39" s="112"/>
      <c r="C39" s="124"/>
      <c r="D39" s="183">
        <f>F62</f>
        <v>2121.04</v>
      </c>
      <c r="E39" s="152">
        <v>0.001</v>
      </c>
      <c r="F39" s="120"/>
      <c r="G39" s="122">
        <f>D39*E39</f>
        <v>2.12104</v>
      </c>
      <c r="H39" s="110"/>
      <c r="I39" s="99"/>
    </row>
    <row r="40" spans="1:9" s="100" customFormat="1" ht="15.75">
      <c r="A40" s="111" t="s">
        <v>127</v>
      </c>
      <c r="B40" s="112"/>
      <c r="C40" s="113"/>
      <c r="D40" s="183">
        <f>G19</f>
        <v>0</v>
      </c>
      <c r="E40" s="152">
        <v>0.047</v>
      </c>
      <c r="F40" s="120"/>
      <c r="G40" s="122">
        <f>D40*E40</f>
        <v>0</v>
      </c>
      <c r="H40" s="110"/>
      <c r="I40" s="99"/>
    </row>
    <row r="41" spans="1:9" s="100" customFormat="1" ht="16.5" thickBot="1">
      <c r="A41" s="111" t="s">
        <v>128</v>
      </c>
      <c r="B41" s="112"/>
      <c r="C41" s="113"/>
      <c r="D41" s="183">
        <f>G20</f>
        <v>157.6</v>
      </c>
      <c r="E41" s="152">
        <v>0.02</v>
      </c>
      <c r="F41" s="120"/>
      <c r="G41" s="132">
        <f>D41*E41</f>
        <v>3.152</v>
      </c>
      <c r="H41" s="110"/>
      <c r="I41" s="99"/>
    </row>
    <row r="42" spans="1:9" s="107" customFormat="1" ht="16.5" thickBot="1">
      <c r="A42" s="104" t="s">
        <v>129</v>
      </c>
      <c r="B42" s="103"/>
      <c r="C42" s="145"/>
      <c r="D42" s="146"/>
      <c r="E42" s="153"/>
      <c r="F42" s="153"/>
      <c r="G42" s="207">
        <f>SUM(G37:G41)</f>
        <v>130.43084</v>
      </c>
      <c r="H42" s="205"/>
      <c r="I42" s="106"/>
    </row>
    <row r="43" spans="1:9" s="100" customFormat="1" ht="16.5" thickBot="1">
      <c r="A43" s="108"/>
      <c r="B43" s="109"/>
      <c r="C43" s="109"/>
      <c r="D43" s="109"/>
      <c r="E43" s="120"/>
      <c r="F43" s="120"/>
      <c r="G43" s="120"/>
      <c r="H43" s="110"/>
      <c r="I43" s="99"/>
    </row>
    <row r="44" spans="1:9" s="100" customFormat="1" ht="16.5" thickBot="1">
      <c r="A44" s="111" t="s">
        <v>130</v>
      </c>
      <c r="B44" s="219" t="s">
        <v>158</v>
      </c>
      <c r="C44" s="220">
        <f>G78</f>
        <v>23039.12</v>
      </c>
      <c r="D44" s="221">
        <f>D68</f>
        <v>1871.04</v>
      </c>
      <c r="E44" s="152">
        <f>+IRPF2016!I41</f>
        <v>0.10455011351127992</v>
      </c>
      <c r="F44" s="120"/>
      <c r="G44" s="122">
        <f>D44*E44</f>
        <v>195.6174443841452</v>
      </c>
      <c r="H44" s="110"/>
      <c r="I44" s="99"/>
    </row>
    <row r="45" spans="1:9" s="100" customFormat="1" ht="15.75">
      <c r="A45" s="111" t="s">
        <v>131</v>
      </c>
      <c r="B45" s="109"/>
      <c r="C45" s="109"/>
      <c r="D45" s="109"/>
      <c r="E45" s="379"/>
      <c r="F45" s="120"/>
      <c r="G45" s="364">
        <v>0</v>
      </c>
      <c r="H45" s="110"/>
      <c r="I45" s="99"/>
    </row>
    <row r="46" spans="1:9" s="100" customFormat="1" ht="15.75">
      <c r="A46" s="111" t="s">
        <v>132</v>
      </c>
      <c r="B46" s="112"/>
      <c r="C46" s="113"/>
      <c r="D46" s="112"/>
      <c r="E46" s="120"/>
      <c r="F46" s="120"/>
      <c r="G46" s="364">
        <v>0</v>
      </c>
      <c r="H46" s="110"/>
      <c r="I46" s="99"/>
    </row>
    <row r="47" spans="1:9" s="100" customFormat="1" ht="15.75">
      <c r="A47" s="111" t="s">
        <v>133</v>
      </c>
      <c r="B47" s="112"/>
      <c r="C47" s="109"/>
      <c r="D47" s="109"/>
      <c r="E47" s="109"/>
      <c r="F47" s="120"/>
      <c r="G47" s="364">
        <v>0</v>
      </c>
      <c r="H47" s="110"/>
      <c r="I47" s="99"/>
    </row>
    <row r="48" spans="1:9" s="100" customFormat="1" ht="16.5" thickBot="1">
      <c r="A48" s="108"/>
      <c r="B48" s="109"/>
      <c r="C48" s="109"/>
      <c r="D48" s="109"/>
      <c r="E48" s="109"/>
      <c r="F48" s="120"/>
      <c r="G48" s="120"/>
      <c r="H48" s="110"/>
      <c r="I48" s="99"/>
    </row>
    <row r="49" spans="1:9" s="107" customFormat="1" ht="16.5" thickBot="1">
      <c r="A49" s="104"/>
      <c r="B49" s="103"/>
      <c r="C49" s="105" t="s">
        <v>134</v>
      </c>
      <c r="D49" s="103"/>
      <c r="E49" s="154"/>
      <c r="F49" s="153"/>
      <c r="G49" s="207">
        <f>G42+G44+G45+G46+G47</f>
        <v>326.0482843841452</v>
      </c>
      <c r="H49" s="205"/>
      <c r="I49" s="106"/>
    </row>
    <row r="50" spans="1:9" s="107" customFormat="1" ht="17.25" thickBot="1" thickTop="1">
      <c r="A50" s="104"/>
      <c r="B50" s="155" t="s">
        <v>135</v>
      </c>
      <c r="C50" s="105" t="s">
        <v>136</v>
      </c>
      <c r="D50" s="103"/>
      <c r="E50" s="105"/>
      <c r="F50" s="154"/>
      <c r="G50" s="154"/>
      <c r="H50" s="307">
        <f>H32-G49</f>
        <v>1785.0217156158546</v>
      </c>
      <c r="I50" s="106"/>
    </row>
    <row r="51" spans="1:9" s="100" customFormat="1" ht="15.75" thickTop="1">
      <c r="A51" s="111"/>
      <c r="B51" s="112"/>
      <c r="C51" s="113" t="s">
        <v>137</v>
      </c>
      <c r="D51" s="112"/>
      <c r="E51" s="113"/>
      <c r="F51" s="113" t="s">
        <v>138</v>
      </c>
      <c r="G51" s="113"/>
      <c r="H51" s="130" t="s">
        <v>139</v>
      </c>
      <c r="I51" s="99"/>
    </row>
    <row r="52" spans="1:9" s="100" customFormat="1" ht="15">
      <c r="A52" s="111"/>
      <c r="B52" s="112"/>
      <c r="C52" s="113"/>
      <c r="D52" s="112"/>
      <c r="E52" s="113"/>
      <c r="F52" s="112"/>
      <c r="G52" s="113"/>
      <c r="H52" s="148"/>
      <c r="I52" s="99"/>
    </row>
    <row r="53" spans="1:9" s="100" customFormat="1" ht="15.75" thickBot="1">
      <c r="A53" s="156"/>
      <c r="B53" s="157"/>
      <c r="C53" s="158"/>
      <c r="D53" s="157"/>
      <c r="E53" s="158"/>
      <c r="F53" s="157"/>
      <c r="G53" s="158"/>
      <c r="H53" s="159"/>
      <c r="I53" s="99"/>
    </row>
    <row r="54" spans="1:9" s="100" customFormat="1" ht="16.5" thickBot="1" thickTop="1">
      <c r="A54" s="191" t="s">
        <v>161</v>
      </c>
      <c r="B54" s="99"/>
      <c r="D54" s="99"/>
      <c r="F54" s="99"/>
      <c r="H54" s="99"/>
      <c r="I54" s="99"/>
    </row>
    <row r="55" spans="1:9" s="164" customFormat="1" ht="13.5" thickTop="1">
      <c r="A55" s="160" t="s">
        <v>140</v>
      </c>
      <c r="B55" s="161"/>
      <c r="C55" s="162"/>
      <c r="D55" s="161"/>
      <c r="E55" s="162"/>
      <c r="F55" s="161"/>
      <c r="G55" s="162"/>
      <c r="H55" s="179"/>
      <c r="I55" s="163"/>
    </row>
    <row r="56" spans="1:9" s="164" customFormat="1" ht="12.75">
      <c r="A56" s="104" t="s">
        <v>162</v>
      </c>
      <c r="B56" s="103"/>
      <c r="C56" s="105"/>
      <c r="D56" s="103"/>
      <c r="E56" s="105"/>
      <c r="F56" s="103"/>
      <c r="G56" s="105"/>
      <c r="H56" s="103"/>
      <c r="I56" s="188"/>
    </row>
    <row r="57" spans="1:9" s="100" customFormat="1" ht="15">
      <c r="A57" s="111"/>
      <c r="B57" s="180" t="s">
        <v>141</v>
      </c>
      <c r="C57" s="113"/>
      <c r="D57" s="180" t="s">
        <v>142</v>
      </c>
      <c r="E57" s="181" t="s">
        <v>143</v>
      </c>
      <c r="F57" s="182" t="s">
        <v>168</v>
      </c>
      <c r="G57" s="181" t="s">
        <v>169</v>
      </c>
      <c r="H57" s="186" t="s">
        <v>144</v>
      </c>
      <c r="I57" s="99"/>
    </row>
    <row r="58" spans="1:9" s="100" customFormat="1" ht="15.75">
      <c r="A58" s="111" t="s">
        <v>145</v>
      </c>
      <c r="B58" s="113"/>
      <c r="C58" s="113"/>
      <c r="D58" s="235"/>
      <c r="E58" s="141"/>
      <c r="F58" s="132"/>
      <c r="G58" s="141"/>
      <c r="H58" s="109"/>
      <c r="I58" s="171"/>
    </row>
    <row r="59" spans="1:9" s="100" customFormat="1" ht="15.75">
      <c r="A59" s="111" t="s">
        <v>146</v>
      </c>
      <c r="B59" s="113"/>
      <c r="C59" s="113"/>
      <c r="D59" s="187">
        <f>SUM(G11:G18)+G26</f>
        <v>1713.44</v>
      </c>
      <c r="E59" s="131">
        <f>D59+G19+G20</f>
        <v>1871.04</v>
      </c>
      <c r="F59" s="167"/>
      <c r="G59" s="131"/>
      <c r="H59" s="189"/>
      <c r="I59" s="171"/>
    </row>
    <row r="60" spans="1:9" s="100" customFormat="1" ht="15.75">
      <c r="A60" s="111" t="s">
        <v>147</v>
      </c>
      <c r="B60" s="113"/>
      <c r="C60" s="113"/>
      <c r="D60" s="168">
        <f>IF(H3="D",(D11+(D11*C12)+SUM(I14:I18))*30*H5/366*E11,(G11+(G12)+SUM(I14:I18))*H5/12)</f>
        <v>250</v>
      </c>
      <c r="E60" s="131">
        <f>D60</f>
        <v>250</v>
      </c>
      <c r="F60" s="151"/>
      <c r="G60" s="169"/>
      <c r="H60" s="165"/>
      <c r="I60" s="99"/>
    </row>
    <row r="61" spans="1:9" s="100" customFormat="1" ht="15.75">
      <c r="A61" s="217" t="s">
        <v>164</v>
      </c>
      <c r="B61" s="215" t="s">
        <v>166</v>
      </c>
      <c r="C61" s="216" t="s">
        <v>167</v>
      </c>
      <c r="D61" s="166">
        <f>SUM(D58:D60)</f>
        <v>1963.44</v>
      </c>
      <c r="E61" s="131"/>
      <c r="F61" s="183">
        <f>+IF(D61&gt;3642,3642,+D61)</f>
        <v>1963.44</v>
      </c>
      <c r="G61" s="185">
        <v>0.236</v>
      </c>
      <c r="H61" s="170">
        <f>F61*G61</f>
        <v>463.37183999999996</v>
      </c>
      <c r="I61" s="99"/>
    </row>
    <row r="62" spans="1:9" s="100" customFormat="1" ht="16.5" thickBot="1">
      <c r="A62" s="218">
        <v>87</v>
      </c>
      <c r="B62" s="214">
        <f>VLOOKUP(A62,Cnae!A3:E165,3,FALSE)</f>
        <v>0.008</v>
      </c>
      <c r="C62" s="214">
        <f>VLOOKUP(A62,Cnae!A3:E165,4,FALSE)</f>
        <v>0.006999999999999999</v>
      </c>
      <c r="D62" s="150" t="s">
        <v>148</v>
      </c>
      <c r="E62" s="131">
        <f>SUM(E58:E61)</f>
        <v>2121.04</v>
      </c>
      <c r="F62" s="183">
        <f>+IF(E62&gt;3642,3642,+E62)</f>
        <v>2121.04</v>
      </c>
      <c r="G62" s="213">
        <f>SUM(B62+C62)</f>
        <v>0.015</v>
      </c>
      <c r="H62" s="170">
        <f aca="true" t="shared" si="1" ref="H62:H67">F62*G62</f>
        <v>31.8156</v>
      </c>
      <c r="I62" s="99"/>
    </row>
    <row r="63" spans="1:9" s="100" customFormat="1" ht="15.75">
      <c r="A63" s="111" t="s">
        <v>149</v>
      </c>
      <c r="B63" s="112"/>
      <c r="C63" s="112"/>
      <c r="D63" s="190" t="s">
        <v>125</v>
      </c>
      <c r="E63" s="113"/>
      <c r="F63" s="183">
        <f>+IF(E62&gt;3642,3642,+E62)</f>
        <v>2121.04</v>
      </c>
      <c r="G63" s="185">
        <v>0.055</v>
      </c>
      <c r="H63" s="170">
        <f t="shared" si="1"/>
        <v>116.6572</v>
      </c>
      <c r="I63" s="99"/>
    </row>
    <row r="64" spans="1:9" s="100" customFormat="1" ht="15.75">
      <c r="A64" s="111" t="s">
        <v>150</v>
      </c>
      <c r="B64" s="112"/>
      <c r="C64" s="112"/>
      <c r="D64" s="190" t="s">
        <v>126</v>
      </c>
      <c r="E64" s="113"/>
      <c r="F64" s="183">
        <f>+IF(E62&gt;3642,3642,+E62)</f>
        <v>2121.04</v>
      </c>
      <c r="G64" s="185">
        <v>0.006</v>
      </c>
      <c r="H64" s="170">
        <f t="shared" si="1"/>
        <v>12.72624</v>
      </c>
      <c r="I64" s="99"/>
    </row>
    <row r="65" spans="1:9" s="100" customFormat="1" ht="15.75">
      <c r="A65" s="171"/>
      <c r="B65" s="222" t="s">
        <v>170</v>
      </c>
      <c r="C65" s="112"/>
      <c r="D65" s="190" t="s">
        <v>151</v>
      </c>
      <c r="E65" s="113"/>
      <c r="F65" s="151">
        <f>+IF(E62&gt;3642,3642,+E62)</f>
        <v>2121.04</v>
      </c>
      <c r="G65" s="185">
        <v>0.002</v>
      </c>
      <c r="H65" s="170">
        <f t="shared" si="1"/>
        <v>4.24208</v>
      </c>
      <c r="I65" s="99"/>
    </row>
    <row r="66" spans="1:9" s="100" customFormat="1" ht="15.75">
      <c r="A66" s="111" t="s">
        <v>152</v>
      </c>
      <c r="B66" s="112"/>
      <c r="C66" s="113"/>
      <c r="D66" s="112"/>
      <c r="E66" s="113" t="s">
        <v>153</v>
      </c>
      <c r="F66" s="183">
        <f>G19</f>
        <v>0</v>
      </c>
      <c r="G66" s="185">
        <v>0.236</v>
      </c>
      <c r="H66" s="170">
        <f t="shared" si="1"/>
        <v>0</v>
      </c>
      <c r="I66" s="99"/>
    </row>
    <row r="67" spans="1:9" s="100" customFormat="1" ht="16.5" thickBot="1">
      <c r="A67" s="111" t="s">
        <v>154</v>
      </c>
      <c r="B67" s="112"/>
      <c r="C67" s="113"/>
      <c r="D67" s="112"/>
      <c r="E67" s="113" t="s">
        <v>155</v>
      </c>
      <c r="F67" s="184">
        <f>G20</f>
        <v>157.6</v>
      </c>
      <c r="G67" s="185">
        <v>0.12</v>
      </c>
      <c r="H67" s="170">
        <f t="shared" si="1"/>
        <v>18.912</v>
      </c>
      <c r="I67" s="99"/>
    </row>
    <row r="68" spans="1:8" ht="17.25" thickBot="1" thickTop="1">
      <c r="A68" s="156" t="s">
        <v>157</v>
      </c>
      <c r="B68" s="172"/>
      <c r="C68" s="236"/>
      <c r="D68" s="238">
        <f>SUM(G11:G24,G29)+G26</f>
        <v>1871.04</v>
      </c>
      <c r="E68" s="237"/>
      <c r="F68" s="173"/>
      <c r="G68" s="178" t="s">
        <v>156</v>
      </c>
      <c r="H68" s="306">
        <f>SUM(H58:H67)</f>
        <v>647.72496</v>
      </c>
    </row>
    <row r="69" spans="1:8" ht="17.25" thickBot="1" thickTop="1">
      <c r="A69" s="113"/>
      <c r="B69" s="176"/>
      <c r="C69" s="175"/>
      <c r="D69" s="305"/>
      <c r="E69" s="175"/>
      <c r="F69" s="234"/>
      <c r="G69" s="223"/>
      <c r="H69" s="141"/>
    </row>
    <row r="70" spans="1:8" ht="18.75" thickBot="1">
      <c r="A70" s="470" t="s">
        <v>422</v>
      </c>
      <c r="B70" s="471"/>
      <c r="C70" s="471"/>
      <c r="D70" s="471"/>
      <c r="E70" s="471"/>
      <c r="F70" s="471"/>
      <c r="G70" s="472"/>
      <c r="H70" s="141"/>
    </row>
    <row r="71" spans="1:8" ht="24" customHeight="1">
      <c r="A71" s="473" t="s">
        <v>407</v>
      </c>
      <c r="B71" s="473"/>
      <c r="C71" s="315">
        <f>D11</f>
        <v>1200</v>
      </c>
      <c r="D71" s="316" t="s">
        <v>281</v>
      </c>
      <c r="E71" s="317">
        <f>12+$H$5</f>
        <v>14</v>
      </c>
      <c r="F71" s="316" t="s">
        <v>409</v>
      </c>
      <c r="G71" s="318">
        <f aca="true" t="shared" si="2" ref="G71:G77">C71*E71</f>
        <v>16800</v>
      </c>
      <c r="H71" s="209"/>
    </row>
    <row r="72" spans="1:8" ht="24" customHeight="1">
      <c r="A72" s="474" t="s">
        <v>408</v>
      </c>
      <c r="B72" s="474"/>
      <c r="C72" s="320">
        <f>G12</f>
        <v>300</v>
      </c>
      <c r="D72" s="321" t="s">
        <v>281</v>
      </c>
      <c r="E72" s="322">
        <f>12+$H$5</f>
        <v>14</v>
      </c>
      <c r="F72" s="321" t="s">
        <v>409</v>
      </c>
      <c r="G72" s="323">
        <f t="shared" si="2"/>
        <v>4200</v>
      </c>
      <c r="H72" s="209"/>
    </row>
    <row r="73" spans="1:8" ht="24" customHeight="1">
      <c r="A73" s="474" t="s">
        <v>410</v>
      </c>
      <c r="B73" s="474"/>
      <c r="C73" s="320">
        <f>G14</f>
        <v>122.3</v>
      </c>
      <c r="D73" s="321" t="s">
        <v>281</v>
      </c>
      <c r="E73" s="319">
        <f>IF(D14="SI",12+$H$5,IF(D14="NO",12)+IF(C14="NO VAC",-1))</f>
        <v>11</v>
      </c>
      <c r="F73" s="321" t="s">
        <v>409</v>
      </c>
      <c r="G73" s="323">
        <f t="shared" si="2"/>
        <v>1345.3</v>
      </c>
      <c r="H73" s="209"/>
    </row>
    <row r="74" spans="1:8" ht="24" customHeight="1">
      <c r="A74" s="474" t="s">
        <v>411</v>
      </c>
      <c r="B74" s="474"/>
      <c r="C74" s="320">
        <f>G15</f>
        <v>0</v>
      </c>
      <c r="D74" s="321" t="s">
        <v>281</v>
      </c>
      <c r="E74" s="319">
        <f>IF(D15="SI",12+$H$5,IF(D15="NO",12)+IF(C15="NO VAC",-1))</f>
        <v>11</v>
      </c>
      <c r="F74" s="321" t="s">
        <v>409</v>
      </c>
      <c r="G74" s="323">
        <f t="shared" si="2"/>
        <v>0</v>
      </c>
      <c r="H74" s="209"/>
    </row>
    <row r="75" spans="1:8" ht="24" customHeight="1">
      <c r="A75" s="474" t="s">
        <v>412</v>
      </c>
      <c r="B75" s="474"/>
      <c r="C75" s="320">
        <f>G16</f>
        <v>0</v>
      </c>
      <c r="D75" s="321" t="s">
        <v>281</v>
      </c>
      <c r="E75" s="319">
        <f>IF(D16="SI",12+$H$5,IF(D16="NO",12)+IF(C16="NO VAC",-1))</f>
        <v>12</v>
      </c>
      <c r="F75" s="321" t="s">
        <v>409</v>
      </c>
      <c r="G75" s="323">
        <f t="shared" si="2"/>
        <v>0</v>
      </c>
      <c r="H75" s="209"/>
    </row>
    <row r="76" spans="1:8" ht="24" customHeight="1">
      <c r="A76" s="474" t="s">
        <v>413</v>
      </c>
      <c r="B76" s="474"/>
      <c r="C76" s="320">
        <f>E17</f>
        <v>3.07</v>
      </c>
      <c r="D76" s="321" t="s">
        <v>281</v>
      </c>
      <c r="E76" s="319">
        <f>IF($F$7="SI",$C$88,IF($F$7="NO",$D$88))</f>
        <v>226</v>
      </c>
      <c r="F76" s="321" t="s">
        <v>409</v>
      </c>
      <c r="G76" s="323">
        <f t="shared" si="2"/>
        <v>693.8199999999999</v>
      </c>
      <c r="H76" s="209"/>
    </row>
    <row r="77" spans="1:8" ht="24" customHeight="1" thickBot="1">
      <c r="A77" s="477" t="s">
        <v>414</v>
      </c>
      <c r="B77" s="477"/>
      <c r="C77" s="320">
        <f>E18</f>
        <v>0</v>
      </c>
      <c r="D77" s="414" t="s">
        <v>281</v>
      </c>
      <c r="E77" s="319">
        <f>IF($F$7="SI",$C$88,IF($F$7="NO",$D$88))</f>
        <v>226</v>
      </c>
      <c r="F77" s="414" t="s">
        <v>409</v>
      </c>
      <c r="G77" s="415">
        <f t="shared" si="2"/>
        <v>0</v>
      </c>
      <c r="H77" s="209"/>
    </row>
    <row r="78" spans="1:8" ht="18.75" thickBot="1">
      <c r="A78" s="209"/>
      <c r="B78" s="209"/>
      <c r="C78" s="209"/>
      <c r="D78" s="209" t="s">
        <v>165</v>
      </c>
      <c r="E78" s="209"/>
      <c r="F78" s="209"/>
      <c r="G78" s="324">
        <f>SUM(G71:G77)</f>
        <v>23039.12</v>
      </c>
      <c r="H78" s="209"/>
    </row>
    <row r="79" spans="1:8" ht="24" customHeight="1">
      <c r="A79" s="209"/>
      <c r="B79" s="209"/>
      <c r="C79" s="209"/>
      <c r="D79" s="209"/>
      <c r="E79" s="209"/>
      <c r="F79" s="209"/>
      <c r="G79" s="209"/>
      <c r="H79" s="209"/>
    </row>
    <row r="80" spans="1:8" ht="24" customHeight="1" thickBot="1">
      <c r="A80" s="209"/>
      <c r="B80" s="209"/>
      <c r="C80" s="209"/>
      <c r="D80" s="209"/>
      <c r="E80" s="209"/>
      <c r="F80" s="209"/>
      <c r="G80" s="209"/>
      <c r="H80" s="209"/>
    </row>
    <row r="81" spans="1:8" ht="18.75" thickBot="1">
      <c r="A81" s="479" t="s">
        <v>421</v>
      </c>
      <c r="B81" s="480"/>
      <c r="C81" s="480"/>
      <c r="D81" s="481"/>
      <c r="E81" s="312"/>
      <c r="F81" s="209"/>
      <c r="G81" s="209"/>
      <c r="H81" s="209"/>
    </row>
    <row r="82" spans="1:8" ht="18">
      <c r="A82" s="478" t="s">
        <v>415</v>
      </c>
      <c r="B82" s="478"/>
      <c r="C82" s="419">
        <v>366</v>
      </c>
      <c r="D82" s="419">
        <v>366</v>
      </c>
      <c r="E82" s="312"/>
      <c r="F82" s="209"/>
      <c r="G82" s="209"/>
      <c r="H82" s="209"/>
    </row>
    <row r="83" spans="1:8" ht="18">
      <c r="A83" s="469" t="s">
        <v>416</v>
      </c>
      <c r="B83" s="469"/>
      <c r="C83" s="313">
        <v>-12</v>
      </c>
      <c r="D83" s="313">
        <v>-12</v>
      </c>
      <c r="E83" s="312"/>
      <c r="F83" s="209"/>
      <c r="G83" s="209"/>
      <c r="H83" s="209"/>
    </row>
    <row r="84" spans="1:8" ht="18">
      <c r="A84" s="469" t="s">
        <v>417</v>
      </c>
      <c r="B84" s="469"/>
      <c r="C84" s="313">
        <v>-2</v>
      </c>
      <c r="D84" s="313">
        <v>-2</v>
      </c>
      <c r="E84" s="312"/>
      <c r="F84" s="209"/>
      <c r="G84" s="209"/>
      <c r="H84" s="209"/>
    </row>
    <row r="85" spans="1:8" ht="18">
      <c r="A85" s="469" t="s">
        <v>418</v>
      </c>
      <c r="B85" s="469"/>
      <c r="C85" s="313">
        <v>-30</v>
      </c>
      <c r="D85" s="313">
        <v>-30</v>
      </c>
      <c r="E85" s="312"/>
      <c r="F85" s="209"/>
      <c r="G85" s="209"/>
      <c r="H85" s="209"/>
    </row>
    <row r="86" spans="1:8" ht="18">
      <c r="A86" s="469" t="s">
        <v>419</v>
      </c>
      <c r="B86" s="469"/>
      <c r="C86" s="313">
        <v>-48</v>
      </c>
      <c r="D86" s="313">
        <v>-48</v>
      </c>
      <c r="E86" s="312"/>
      <c r="F86" s="209"/>
      <c r="G86" s="209"/>
      <c r="H86" s="209"/>
    </row>
    <row r="87" spans="1:5" ht="18.75" thickBot="1">
      <c r="A87" s="469" t="s">
        <v>420</v>
      </c>
      <c r="B87" s="469"/>
      <c r="C87" s="327"/>
      <c r="D87" s="314">
        <v>-48</v>
      </c>
      <c r="E87" s="312"/>
    </row>
    <row r="88" spans="1:5" ht="18.75" thickBot="1">
      <c r="A88" s="475" t="s">
        <v>0</v>
      </c>
      <c r="B88" s="476"/>
      <c r="C88" s="328">
        <f>SUM(C82:C87)</f>
        <v>274</v>
      </c>
      <c r="D88" s="329">
        <f>SUM(D82:D87)</f>
        <v>226</v>
      </c>
      <c r="E88" s="311"/>
    </row>
  </sheetData>
  <sheetProtection/>
  <mergeCells count="33">
    <mergeCell ref="A26:C26"/>
    <mergeCell ref="A88:B88"/>
    <mergeCell ref="A75:B75"/>
    <mergeCell ref="A76:B76"/>
    <mergeCell ref="A77:B77"/>
    <mergeCell ref="A82:B82"/>
    <mergeCell ref="A85:B85"/>
    <mergeCell ref="A86:B86"/>
    <mergeCell ref="A87:B87"/>
    <mergeCell ref="A81:D81"/>
    <mergeCell ref="A83:B83"/>
    <mergeCell ref="A84:B84"/>
    <mergeCell ref="A70:G70"/>
    <mergeCell ref="A71:B71"/>
    <mergeCell ref="A72:B72"/>
    <mergeCell ref="A73:B73"/>
    <mergeCell ref="A74:B74"/>
    <mergeCell ref="A24:C24"/>
    <mergeCell ref="A25:C25"/>
    <mergeCell ref="A15:B15"/>
    <mergeCell ref="A17:C17"/>
    <mergeCell ref="A18:C18"/>
    <mergeCell ref="A16:B16"/>
    <mergeCell ref="F1:H1"/>
    <mergeCell ref="B1:D1"/>
    <mergeCell ref="B2:D2"/>
    <mergeCell ref="B3:C3"/>
    <mergeCell ref="B4:C4"/>
    <mergeCell ref="E8:G8"/>
    <mergeCell ref="A14:B14"/>
    <mergeCell ref="E3:F3"/>
    <mergeCell ref="A11:C11"/>
    <mergeCell ref="A6:B6"/>
  </mergeCells>
  <dataValidations count="10">
    <dataValidation type="list" allowBlank="1" showInputMessage="1" showErrorMessage="1" sqref="D14:D18">
      <formula1>"SI,NO"</formula1>
    </dataValidation>
    <dataValidation type="list" allowBlank="1" showInputMessage="1" showErrorMessage="1" sqref="C6">
      <formula1>"MES DE PAGO,ENERO,FEBRERO,MARZO,ABRIL,MAYO,JUNIO,JULIO,AGOSTO,SEPTIEMBRE,OCTUBRE,NOVIEMBRE,DICIEMBRE,"</formula1>
    </dataValidation>
    <dataValidation type="list" allowBlank="1" showInputMessage="1" showErrorMessage="1" sqref="H6">
      <formula1>"DIARIO O MENSUAL,1,2,3,4,5,6,7,8,9,10,11,12,13,14,15,16,17,18,19,20,21,22,23,24,25,26,27,28,29,30,31,"</formula1>
    </dataValidation>
    <dataValidation type="list" allowBlank="1" showInputMessage="1" showErrorMessage="1" sqref="H5">
      <formula1>"1,2,3,4,5,6,0,"</formula1>
    </dataValidation>
    <dataValidation type="list" allowBlank="1" showInputMessage="1" showErrorMessage="1" sqref="H3">
      <formula1>"M,D,"</formula1>
    </dataValidation>
    <dataValidation type="list" allowBlank="1" showInputMessage="1" showErrorMessage="1" sqref="E11">
      <formula1>"1,2,3,4,5,6,7,8,9,10,11,12,13,14,15,16,17,18,19,20,21,22,23,24,25,26,27,28,29,30,31,"</formula1>
    </dataValidation>
    <dataValidation type="list" showInputMessage="1" showErrorMessage="1" sqref="E4">
      <formula1>"SEG. SOCIAL,1,2,3,4,5,6,7,8,9,10,11,"</formula1>
    </dataValidation>
    <dataValidation type="list" allowBlank="1" showInputMessage="1" showErrorMessage="1" sqref="D6">
      <formula1>"AÑO,2000,2001,2002,2003,2004,2005,2006,2007,2008,2009,2010,2011,2012,2013,2014,2015,2016,2017,2018,2019,2020,"</formula1>
    </dataValidation>
    <dataValidation type="list" allowBlank="1" showInputMessage="1" showErrorMessage="1" sqref="F7">
      <formula1>$L$1:$L$2</formula1>
    </dataValidation>
    <dataValidation type="list" allowBlank="1" showInputMessage="1" showErrorMessage="1" sqref="C14:C16">
      <formula1>$L$4:$L$5</formula1>
    </dataValidation>
  </dataValidations>
  <printOptions/>
  <pageMargins left="0.75" right="0.75" top="1" bottom="1" header="0" footer="0"/>
  <pageSetup fitToHeight="1" fitToWidth="1"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46"/>
  <sheetViews>
    <sheetView zoomScalePageLayoutView="0" workbookViewId="0" topLeftCell="A13">
      <selection activeCell="H41" sqref="H41"/>
    </sheetView>
  </sheetViews>
  <sheetFormatPr defaultColWidth="11.421875" defaultRowHeight="12.75"/>
  <cols>
    <col min="1" max="1" width="5.7109375" style="1" customWidth="1"/>
    <col min="2" max="2" width="11.421875" style="3" customWidth="1"/>
    <col min="3" max="3" width="15.421875" style="3" customWidth="1"/>
    <col min="4" max="4" width="11.421875" style="1" customWidth="1"/>
    <col min="5" max="5" width="5.7109375" style="1" customWidth="1"/>
    <col min="6" max="8" width="11.421875" style="1" customWidth="1"/>
    <col min="9" max="9" width="11.421875" style="2" customWidth="1"/>
    <col min="10" max="10" width="5.7109375" style="1" customWidth="1"/>
    <col min="11" max="16384" width="11.421875" style="1" customWidth="1"/>
  </cols>
  <sheetData>
    <row r="1" spans="1:14" s="7" customFormat="1" ht="20.25">
      <c r="A1" s="6" t="s">
        <v>160</v>
      </c>
      <c r="N1" s="8"/>
    </row>
    <row r="2" spans="1:14" s="7" customFormat="1" ht="12.75">
      <c r="A2" s="6"/>
      <c r="N2" s="8"/>
    </row>
    <row r="3" s="82" customFormat="1" ht="16.5" customHeight="1">
      <c r="N3" s="83"/>
    </row>
    <row r="4" s="82" customFormat="1" ht="16.5" customHeight="1">
      <c r="N4" s="83"/>
    </row>
    <row r="5" spans="1:14" s="82" customFormat="1" ht="16.5" customHeight="1">
      <c r="A5" s="84"/>
      <c r="N5" s="83"/>
    </row>
    <row r="6" spans="1:15" s="82" customFormat="1" ht="16.5" customHeight="1">
      <c r="A6" s="488"/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</row>
    <row r="7" spans="1:15" s="82" customFormat="1" ht="16.5" customHeight="1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</row>
    <row r="8" spans="1:15" s="82" customFormat="1" ht="16.5" customHeight="1">
      <c r="A8" s="488"/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</row>
    <row r="9" spans="1:15" s="82" customFormat="1" ht="16.5" customHeight="1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</row>
    <row r="10" s="85" customFormat="1" ht="16.5" customHeight="1">
      <c r="C10" s="86"/>
    </row>
    <row r="12" ht="13.5" thickBot="1"/>
    <row r="13" spans="2:15" ht="12.75">
      <c r="B13" s="503" t="s">
        <v>16</v>
      </c>
      <c r="C13" s="504"/>
      <c r="D13" s="14">
        <f>+NOMINA2016!C44</f>
        <v>23039.12</v>
      </c>
      <c r="E13" s="1" t="s">
        <v>159</v>
      </c>
      <c r="G13" s="498" t="s">
        <v>15</v>
      </c>
      <c r="H13" s="499"/>
      <c r="I13" s="500"/>
      <c r="K13" s="493" t="s">
        <v>58</v>
      </c>
      <c r="L13" s="494"/>
      <c r="M13" s="490" t="s">
        <v>52</v>
      </c>
      <c r="N13" s="491"/>
      <c r="O13" s="492"/>
    </row>
    <row r="14" spans="2:15" ht="13.5" thickBot="1">
      <c r="B14" s="501" t="s">
        <v>18</v>
      </c>
      <c r="C14" s="502"/>
      <c r="D14" s="15">
        <v>0</v>
      </c>
      <c r="E14" s="1" t="s">
        <v>159</v>
      </c>
      <c r="G14" s="11" t="s">
        <v>4</v>
      </c>
      <c r="H14" s="12" t="s">
        <v>5</v>
      </c>
      <c r="I14" s="70" t="s">
        <v>75</v>
      </c>
      <c r="K14" s="495"/>
      <c r="L14" s="496"/>
      <c r="M14" s="69">
        <v>0</v>
      </c>
      <c r="N14" s="69">
        <v>1</v>
      </c>
      <c r="O14" s="70" t="s">
        <v>53</v>
      </c>
    </row>
    <row r="15" spans="2:15" ht="13.5" customHeight="1" thickBot="1">
      <c r="B15" s="505"/>
      <c r="C15" s="506"/>
      <c r="D15" s="13"/>
      <c r="G15" s="23">
        <v>0</v>
      </c>
      <c r="H15" s="24">
        <v>12450</v>
      </c>
      <c r="I15" s="25">
        <v>0.19</v>
      </c>
      <c r="K15" s="514" t="s">
        <v>54</v>
      </c>
      <c r="L15" s="515"/>
      <c r="M15" s="513" t="s">
        <v>55</v>
      </c>
      <c r="N15" s="513">
        <v>13662</v>
      </c>
      <c r="O15" s="497">
        <v>15617</v>
      </c>
    </row>
    <row r="16" spans="2:15" ht="13.5" thickBot="1">
      <c r="B16" s="516" t="s">
        <v>9</v>
      </c>
      <c r="C16" s="517"/>
      <c r="D16" s="37">
        <f>SUM(D13:D14)</f>
        <v>23039.12</v>
      </c>
      <c r="G16" s="26">
        <v>12451</v>
      </c>
      <c r="H16" s="27">
        <v>20200</v>
      </c>
      <c r="I16" s="28">
        <v>0.24</v>
      </c>
      <c r="K16" s="484"/>
      <c r="L16" s="485"/>
      <c r="M16" s="486"/>
      <c r="N16" s="486"/>
      <c r="O16" s="482"/>
    </row>
    <row r="17" spans="7:15" ht="13.5" customHeight="1" thickBot="1">
      <c r="G17" s="26">
        <v>20201</v>
      </c>
      <c r="H17" s="27">
        <v>35200</v>
      </c>
      <c r="I17" s="28">
        <v>0.3</v>
      </c>
      <c r="K17" s="484" t="s">
        <v>57</v>
      </c>
      <c r="L17" s="485"/>
      <c r="M17" s="486">
        <v>13335</v>
      </c>
      <c r="N17" s="486">
        <v>14774</v>
      </c>
      <c r="O17" s="482">
        <v>16952</v>
      </c>
    </row>
    <row r="18" spans="2:15" ht="12.75">
      <c r="B18" s="503" t="s">
        <v>10</v>
      </c>
      <c r="C18" s="504"/>
      <c r="D18" s="53">
        <f>5550+Ayuda!D6</f>
        <v>5550</v>
      </c>
      <c r="G18" s="26">
        <v>35201</v>
      </c>
      <c r="H18" s="27">
        <v>60000</v>
      </c>
      <c r="I18" s="28">
        <v>0.37</v>
      </c>
      <c r="J18" s="4"/>
      <c r="K18" s="484"/>
      <c r="L18" s="485"/>
      <c r="M18" s="486"/>
      <c r="N18" s="486"/>
      <c r="O18" s="482"/>
    </row>
    <row r="19" spans="2:15" ht="13.5" thickBot="1">
      <c r="B19" s="501" t="s">
        <v>11</v>
      </c>
      <c r="C19" s="502"/>
      <c r="D19" s="54">
        <f>Ayuda!D13</f>
        <v>2400</v>
      </c>
      <c r="G19" s="29">
        <v>60001</v>
      </c>
      <c r="H19" s="30"/>
      <c r="I19" s="31">
        <v>0.45</v>
      </c>
      <c r="K19" s="484" t="s">
        <v>56</v>
      </c>
      <c r="L19" s="485"/>
      <c r="M19" s="486">
        <v>11162</v>
      </c>
      <c r="N19" s="486">
        <v>11888</v>
      </c>
      <c r="O19" s="482">
        <v>12519</v>
      </c>
    </row>
    <row r="20" spans="2:15" ht="13.5" thickBot="1">
      <c r="B20" s="501" t="s">
        <v>12</v>
      </c>
      <c r="C20" s="502"/>
      <c r="D20" s="54">
        <f>Ayuda!D24</f>
        <v>0</v>
      </c>
      <c r="I20" s="1"/>
      <c r="K20" s="518"/>
      <c r="L20" s="519"/>
      <c r="M20" s="487"/>
      <c r="N20" s="487"/>
      <c r="O20" s="483"/>
    </row>
    <row r="21" spans="2:9" ht="13.5" thickBot="1">
      <c r="B21" s="501" t="s">
        <v>42</v>
      </c>
      <c r="C21" s="502"/>
      <c r="D21" s="54">
        <f>Ayuda!D32</f>
        <v>0</v>
      </c>
      <c r="I21" s="1"/>
    </row>
    <row r="22" spans="2:9" ht="13.5" thickBot="1">
      <c r="B22" s="505"/>
      <c r="C22" s="506"/>
      <c r="D22" s="13"/>
      <c r="G22" s="520" t="s">
        <v>13</v>
      </c>
      <c r="H22" s="521"/>
      <c r="I22" s="1"/>
    </row>
    <row r="23" spans="2:16" ht="13.5" thickBot="1">
      <c r="B23" s="516" t="s">
        <v>43</v>
      </c>
      <c r="C23" s="517"/>
      <c r="D23" s="37">
        <f>SUM(D18:D21)</f>
        <v>7950</v>
      </c>
      <c r="G23" s="32">
        <f>F24-F25</f>
        <v>7950</v>
      </c>
      <c r="H23" s="17">
        <f>G23*I15</f>
        <v>1510.5</v>
      </c>
      <c r="I23" s="1"/>
      <c r="K23" s="507" t="s">
        <v>59</v>
      </c>
      <c r="L23" s="508"/>
      <c r="M23" s="508"/>
      <c r="N23" s="508"/>
      <c r="O23" s="71" t="s">
        <v>61</v>
      </c>
      <c r="P23" s="72" t="s">
        <v>60</v>
      </c>
    </row>
    <row r="24" spans="6:16" ht="13.5" thickBot="1">
      <c r="F24" s="1">
        <f>IF((D$23-G15)&lt;0,0,(D$23-G15))</f>
        <v>7950</v>
      </c>
      <c r="G24" s="33">
        <f>F25-F26</f>
        <v>0</v>
      </c>
      <c r="H24" s="16">
        <f>G24*I16</f>
        <v>0</v>
      </c>
      <c r="I24" s="1"/>
      <c r="K24" s="509"/>
      <c r="L24" s="510"/>
      <c r="M24" s="510"/>
      <c r="N24" s="510"/>
      <c r="O24" s="12" t="s">
        <v>69</v>
      </c>
      <c r="P24" s="76" t="s">
        <v>69</v>
      </c>
    </row>
    <row r="25" spans="2:16" ht="12.75">
      <c r="B25" s="503" t="s">
        <v>21</v>
      </c>
      <c r="C25" s="504"/>
      <c r="D25" s="53">
        <f>2652</f>
        <v>2652</v>
      </c>
      <c r="F25" s="1">
        <f>IF((D$23-G16)&lt;0,0,(D$23-G16))</f>
        <v>0</v>
      </c>
      <c r="G25" s="33">
        <f>F26-F27</f>
        <v>0</v>
      </c>
      <c r="H25" s="16">
        <f>G25*I17</f>
        <v>0</v>
      </c>
      <c r="I25" s="1"/>
      <c r="K25" s="522" t="s">
        <v>62</v>
      </c>
      <c r="L25" s="523"/>
      <c r="M25" s="523"/>
      <c r="N25" s="523"/>
      <c r="O25" s="94">
        <v>1067.47</v>
      </c>
      <c r="P25" s="95">
        <v>3642</v>
      </c>
    </row>
    <row r="26" spans="2:16" ht="12.75">
      <c r="B26" s="501" t="s">
        <v>1</v>
      </c>
      <c r="C26" s="502"/>
      <c r="D26" s="16">
        <f>IF(D16&lt;12*P36,IF(D16&gt;12*O36,(D33)*D16,D33*12*O36),(D33)*12*P36)</f>
        <v>1462.9841199999998</v>
      </c>
      <c r="F26" s="1">
        <f>IF((D$23-G17)&lt;0,0,(D$23-G17))</f>
        <v>0</v>
      </c>
      <c r="G26" s="33">
        <f>F27-F28</f>
        <v>0</v>
      </c>
      <c r="H26" s="16">
        <f>G26*I18</f>
        <v>0</v>
      </c>
      <c r="I26" s="1"/>
      <c r="K26" s="74" t="s">
        <v>63</v>
      </c>
      <c r="L26" s="75"/>
      <c r="M26" s="75"/>
      <c r="N26" s="75"/>
      <c r="O26" s="93">
        <v>885.37</v>
      </c>
      <c r="P26" s="95">
        <v>3642</v>
      </c>
    </row>
    <row r="27" spans="2:16" ht="12.75">
      <c r="B27" s="501" t="s">
        <v>22</v>
      </c>
      <c r="C27" s="502"/>
      <c r="D27" s="54">
        <f>Ayuda!D46</f>
        <v>0</v>
      </c>
      <c r="F27" s="1">
        <f>IF((D$23-G18)&lt;0,0,(D$23-G18))</f>
        <v>0</v>
      </c>
      <c r="G27" s="33">
        <f>F28</f>
        <v>0</v>
      </c>
      <c r="H27" s="16">
        <f>G27*I19</f>
        <v>0</v>
      </c>
      <c r="K27" s="511" t="s">
        <v>64</v>
      </c>
      <c r="L27" s="512"/>
      <c r="M27" s="512"/>
      <c r="N27" s="512"/>
      <c r="O27" s="93">
        <v>770.23</v>
      </c>
      <c r="P27" s="95">
        <v>3642</v>
      </c>
    </row>
    <row r="28" spans="2:16" ht="13.5" thickBot="1">
      <c r="B28" s="505"/>
      <c r="C28" s="506"/>
      <c r="D28" s="13"/>
      <c r="F28" s="1">
        <f>IF((D$23-G19)&lt;0,0,(D$23-G19))</f>
        <v>0</v>
      </c>
      <c r="G28" s="34" t="s">
        <v>0</v>
      </c>
      <c r="H28" s="18">
        <f>SUM(H23:H27)</f>
        <v>1510.5</v>
      </c>
      <c r="I28" s="1"/>
      <c r="K28" s="511" t="s">
        <v>65</v>
      </c>
      <c r="L28" s="512"/>
      <c r="M28" s="512"/>
      <c r="N28" s="512"/>
      <c r="O28" s="93">
        <v>770.23</v>
      </c>
      <c r="P28" s="95">
        <v>3642</v>
      </c>
    </row>
    <row r="29" spans="2:16" ht="12.75">
      <c r="B29" s="526" t="s">
        <v>2</v>
      </c>
      <c r="C29" s="527"/>
      <c r="D29" s="17">
        <f>SUM(D25:D27)</f>
        <v>4114.98412</v>
      </c>
      <c r="I29" s="1"/>
      <c r="K29" s="511" t="s">
        <v>66</v>
      </c>
      <c r="L29" s="512"/>
      <c r="M29" s="512"/>
      <c r="N29" s="512"/>
      <c r="O29" s="93">
        <v>770.23</v>
      </c>
      <c r="P29" s="95">
        <v>3642</v>
      </c>
    </row>
    <row r="30" spans="2:16" ht="13.5" thickBot="1">
      <c r="B30" s="524" t="s">
        <v>3</v>
      </c>
      <c r="C30" s="525"/>
      <c r="D30" s="18">
        <f>D16-D29</f>
        <v>18924.135879999998</v>
      </c>
      <c r="I30" s="1"/>
      <c r="K30" s="511" t="s">
        <v>67</v>
      </c>
      <c r="L30" s="512"/>
      <c r="M30" s="512"/>
      <c r="N30" s="512"/>
      <c r="O30" s="93">
        <v>770.23</v>
      </c>
      <c r="P30" s="95">
        <v>3642</v>
      </c>
    </row>
    <row r="31" spans="7:16" ht="13.5" thickBot="1">
      <c r="G31" s="520" t="s">
        <v>14</v>
      </c>
      <c r="H31" s="521"/>
      <c r="I31" s="1"/>
      <c r="K31" s="528" t="s">
        <v>68</v>
      </c>
      <c r="L31" s="529"/>
      <c r="M31" s="529"/>
      <c r="N31" s="529"/>
      <c r="O31" s="93">
        <v>770.23</v>
      </c>
      <c r="P31" s="95">
        <v>3642</v>
      </c>
    </row>
    <row r="32" spans="2:9" ht="12.75">
      <c r="B32" s="503" t="s">
        <v>6</v>
      </c>
      <c r="C32" s="504"/>
      <c r="D32" s="20">
        <f>I41</f>
        <v>0.10455011351127992</v>
      </c>
      <c r="G32" s="32">
        <f>F33-F34</f>
        <v>12451</v>
      </c>
      <c r="H32" s="17">
        <f>G32*I15</f>
        <v>2365.69</v>
      </c>
      <c r="I32" s="1"/>
    </row>
    <row r="33" spans="2:9" ht="13.5" thickBot="1">
      <c r="B33" s="501" t="s">
        <v>44</v>
      </c>
      <c r="C33" s="502"/>
      <c r="D33" s="28">
        <f>P41</f>
        <v>0.0635</v>
      </c>
      <c r="F33" s="1">
        <f>IF((D$30-G15)&lt;0,0,(D$30-G15))</f>
        <v>18924.135879999998</v>
      </c>
      <c r="G33" s="33">
        <f>F34-F35</f>
        <v>6473.135879999998</v>
      </c>
      <c r="H33" s="16">
        <f>G33*I16</f>
        <v>1553.5526111999995</v>
      </c>
      <c r="I33" s="1"/>
    </row>
    <row r="34" spans="2:16" ht="13.5" customHeight="1" thickBot="1">
      <c r="B34" s="505"/>
      <c r="C34" s="506"/>
      <c r="D34" s="19"/>
      <c r="F34" s="1">
        <f>IF((D$30-G16)&lt;0,0,(D$30-G16))</f>
        <v>6473.135879999998</v>
      </c>
      <c r="G34" s="33">
        <f>F35-F36</f>
        <v>0</v>
      </c>
      <c r="H34" s="16">
        <f>G34*I17</f>
        <v>0</v>
      </c>
      <c r="I34" s="5"/>
      <c r="K34" s="530" t="s">
        <v>74</v>
      </c>
      <c r="L34" s="531"/>
      <c r="M34" s="531"/>
      <c r="N34" s="531"/>
      <c r="O34" s="71" t="s">
        <v>61</v>
      </c>
      <c r="P34" s="72" t="s">
        <v>60</v>
      </c>
    </row>
    <row r="35" spans="2:16" ht="13.5" thickBot="1">
      <c r="B35" s="516" t="s">
        <v>7</v>
      </c>
      <c r="C35" s="517"/>
      <c r="D35" s="38">
        <f>SUM(D32:D33)</f>
        <v>0.1680501135112799</v>
      </c>
      <c r="F35" s="1">
        <f>IF((D$30-G17)&lt;0,0,(D$30-G17))</f>
        <v>0</v>
      </c>
      <c r="G35" s="33">
        <f>F36-F37</f>
        <v>0</v>
      </c>
      <c r="H35" s="16">
        <f>G35*I18</f>
        <v>0</v>
      </c>
      <c r="K35" s="532"/>
      <c r="L35" s="533"/>
      <c r="M35" s="533"/>
      <c r="N35" s="533"/>
      <c r="O35" s="12" t="s">
        <v>69</v>
      </c>
      <c r="P35" s="76" t="s">
        <v>69</v>
      </c>
    </row>
    <row r="36" spans="6:16" ht="13.5" thickBot="1">
      <c r="F36" s="1">
        <f>IF((D$30-G18)&lt;0,0,(D$30-G18))</f>
        <v>0</v>
      </c>
      <c r="G36" s="33">
        <f>F37</f>
        <v>0</v>
      </c>
      <c r="H36" s="16">
        <f>G36*I19</f>
        <v>0</v>
      </c>
      <c r="K36" s="534"/>
      <c r="L36" s="535"/>
      <c r="M36" s="535"/>
      <c r="N36" s="536"/>
      <c r="O36" s="96">
        <v>1067.47</v>
      </c>
      <c r="P36" s="97">
        <v>3642</v>
      </c>
    </row>
    <row r="37" spans="2:8" ht="13.5" thickBot="1">
      <c r="B37" s="503" t="s">
        <v>20</v>
      </c>
      <c r="C37" s="504"/>
      <c r="D37" s="21">
        <f>IF(D$16&lt;12*P36,(((1-D$35))*D13)/12,(((1-F41))*D13)/12)</f>
        <v>1597.2827723999999</v>
      </c>
      <c r="F37" s="1">
        <f>IF((D$30-G19)&lt;0,0,(D$30-G19))</f>
        <v>0</v>
      </c>
      <c r="G37" s="34" t="s">
        <v>0</v>
      </c>
      <c r="H37" s="18">
        <f>SUM(H32:H36)</f>
        <v>3919.2426111999994</v>
      </c>
    </row>
    <row r="38" spans="2:4" ht="13.5" thickBot="1">
      <c r="B38" s="501" t="s">
        <v>17</v>
      </c>
      <c r="C38" s="502"/>
      <c r="D38" s="22">
        <f>IF(D$16&lt;12*P36,(((1-D$35))*D14),(((1-F41))*D14))</f>
        <v>0</v>
      </c>
    </row>
    <row r="39" spans="2:16" ht="13.5" thickBot="1">
      <c r="B39" s="501" t="s">
        <v>45</v>
      </c>
      <c r="C39" s="502"/>
      <c r="D39" s="15">
        <v>0</v>
      </c>
      <c r="E39" s="1" t="s">
        <v>159</v>
      </c>
      <c r="K39" s="498" t="s">
        <v>73</v>
      </c>
      <c r="L39" s="499"/>
      <c r="M39" s="499"/>
      <c r="N39" s="499"/>
      <c r="O39" s="499"/>
      <c r="P39" s="500"/>
    </row>
    <row r="40" spans="2:16" ht="13.5" thickBot="1">
      <c r="B40" s="547"/>
      <c r="C40" s="548"/>
      <c r="D40" s="9"/>
      <c r="F40" s="1">
        <f>D26+H41</f>
        <v>3871.7267311999994</v>
      </c>
      <c r="G40" s="537" t="s">
        <v>19</v>
      </c>
      <c r="H40" s="538"/>
      <c r="I40" s="10" t="s">
        <v>6</v>
      </c>
      <c r="K40" s="546" t="s">
        <v>70</v>
      </c>
      <c r="L40" s="545"/>
      <c r="M40" s="544" t="s">
        <v>72</v>
      </c>
      <c r="N40" s="545"/>
      <c r="O40" s="12" t="s">
        <v>71</v>
      </c>
      <c r="P40" s="76" t="s">
        <v>0</v>
      </c>
    </row>
    <row r="41" spans="2:16" ht="13.5" thickBot="1">
      <c r="B41" s="539" t="s">
        <v>8</v>
      </c>
      <c r="C41" s="540"/>
      <c r="D41" s="39">
        <f>12*D37+D38+D39</f>
        <v>19167.3932688</v>
      </c>
      <c r="F41" s="73">
        <f>F40/D16</f>
        <v>0.16805011351127994</v>
      </c>
      <c r="G41" s="35" t="s">
        <v>0</v>
      </c>
      <c r="H41" s="36">
        <f>H37-H28</f>
        <v>2408.7426111999994</v>
      </c>
      <c r="I41" s="91">
        <f>IF(H41&gt;0,(H41/D16),0)</f>
        <v>0.10455011351127992</v>
      </c>
      <c r="K41" s="543">
        <v>0.047</v>
      </c>
      <c r="L41" s="542"/>
      <c r="M41" s="541">
        <v>0.0155</v>
      </c>
      <c r="N41" s="542"/>
      <c r="O41" s="77">
        <v>0.001</v>
      </c>
      <c r="P41" s="78">
        <f>SUM(K41:O41)</f>
        <v>0.0635</v>
      </c>
    </row>
    <row r="42" spans="2:9" ht="15.75">
      <c r="B42" s="192" t="s">
        <v>355</v>
      </c>
      <c r="I42" s="1"/>
    </row>
    <row r="43" ht="12.75">
      <c r="I43" s="1"/>
    </row>
    <row r="44" spans="1:6" s="89" customFormat="1" ht="16.5" customHeight="1">
      <c r="A44" s="87"/>
      <c r="B44" s="88"/>
      <c r="C44" s="88"/>
      <c r="D44" s="88"/>
      <c r="E44" s="88"/>
      <c r="F44" s="88"/>
    </row>
    <row r="45" spans="1:6" s="89" customFormat="1" ht="16.5" customHeight="1">
      <c r="A45" s="87"/>
      <c r="B45" s="88"/>
      <c r="C45" s="88"/>
      <c r="D45" s="88"/>
      <c r="E45" s="88"/>
      <c r="F45" s="88"/>
    </row>
    <row r="46" spans="1:6" s="89" customFormat="1" ht="16.5" customHeight="1">
      <c r="A46" s="87"/>
      <c r="B46" s="88"/>
      <c r="C46" s="88"/>
      <c r="D46" s="88"/>
      <c r="E46" s="88"/>
      <c r="F46" s="88"/>
    </row>
  </sheetData>
  <sheetProtection/>
  <mergeCells count="58">
    <mergeCell ref="B41:C41"/>
    <mergeCell ref="M41:N41"/>
    <mergeCell ref="K41:L41"/>
    <mergeCell ref="M40:N40"/>
    <mergeCell ref="K40:L40"/>
    <mergeCell ref="B40:C40"/>
    <mergeCell ref="B34:C34"/>
    <mergeCell ref="K34:N36"/>
    <mergeCell ref="G40:H40"/>
    <mergeCell ref="B39:C39"/>
    <mergeCell ref="K39:P39"/>
    <mergeCell ref="B38:C38"/>
    <mergeCell ref="B35:C35"/>
    <mergeCell ref="B37:C37"/>
    <mergeCell ref="B32:C32"/>
    <mergeCell ref="B33:C33"/>
    <mergeCell ref="K28:N28"/>
    <mergeCell ref="K29:N29"/>
    <mergeCell ref="G31:H31"/>
    <mergeCell ref="B30:C30"/>
    <mergeCell ref="B29:C29"/>
    <mergeCell ref="K30:N30"/>
    <mergeCell ref="K31:N31"/>
    <mergeCell ref="B21:C21"/>
    <mergeCell ref="M19:M20"/>
    <mergeCell ref="B23:C23"/>
    <mergeCell ref="B28:C28"/>
    <mergeCell ref="B27:C27"/>
    <mergeCell ref="G22:H22"/>
    <mergeCell ref="B19:C19"/>
    <mergeCell ref="K25:N25"/>
    <mergeCell ref="B26:C26"/>
    <mergeCell ref="B25:C25"/>
    <mergeCell ref="B22:C22"/>
    <mergeCell ref="K23:N24"/>
    <mergeCell ref="K27:N27"/>
    <mergeCell ref="N15:N16"/>
    <mergeCell ref="K15:L16"/>
    <mergeCell ref="M15:M16"/>
    <mergeCell ref="B16:C16"/>
    <mergeCell ref="B20:C20"/>
    <mergeCell ref="B18:C18"/>
    <mergeCell ref="K19:L20"/>
    <mergeCell ref="A6:O7"/>
    <mergeCell ref="M13:O13"/>
    <mergeCell ref="K13:L14"/>
    <mergeCell ref="O15:O16"/>
    <mergeCell ref="G13:I13"/>
    <mergeCell ref="A8:O9"/>
    <mergeCell ref="B14:C14"/>
    <mergeCell ref="B13:C13"/>
    <mergeCell ref="B15:C15"/>
    <mergeCell ref="O19:O20"/>
    <mergeCell ref="K17:L18"/>
    <mergeCell ref="O17:O18"/>
    <mergeCell ref="N17:N18"/>
    <mergeCell ref="N19:N20"/>
    <mergeCell ref="M17:M18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N56"/>
  <sheetViews>
    <sheetView zoomScalePageLayoutView="0" workbookViewId="0" topLeftCell="A7">
      <selection activeCell="C14" sqref="C14"/>
    </sheetView>
  </sheetViews>
  <sheetFormatPr defaultColWidth="11.421875" defaultRowHeight="12.75"/>
  <cols>
    <col min="2" max="2" width="39.28125" style="0" customWidth="1"/>
    <col min="3" max="3" width="5.140625" style="40" customWidth="1"/>
    <col min="4" max="4" width="13.00390625" style="0" bestFit="1" customWidth="1"/>
  </cols>
  <sheetData>
    <row r="1" spans="1:14" s="7" customFormat="1" ht="20.25">
      <c r="A1" s="6" t="s">
        <v>82</v>
      </c>
      <c r="N1" s="8"/>
    </row>
    <row r="2" s="8" customFormat="1" ht="12.75">
      <c r="C2" s="68"/>
    </row>
    <row r="3" spans="1:3" s="83" customFormat="1" ht="16.5" customHeight="1">
      <c r="A3" s="83" t="s">
        <v>76</v>
      </c>
      <c r="C3" s="90"/>
    </row>
    <row r="4" spans="1:3" s="83" customFormat="1" ht="16.5" customHeight="1">
      <c r="A4" s="92" t="s">
        <v>83</v>
      </c>
      <c r="C4" s="90"/>
    </row>
    <row r="5" ht="13.5" thickBot="1"/>
    <row r="6" spans="2:4" ht="12.75">
      <c r="B6" s="526" t="s">
        <v>25</v>
      </c>
      <c r="C6" s="527"/>
      <c r="D6" s="63">
        <f>SUM(D8:D9)</f>
        <v>0</v>
      </c>
    </row>
    <row r="7" spans="2:4" ht="13.5" thickBot="1">
      <c r="B7" s="47" t="s">
        <v>26</v>
      </c>
      <c r="C7" s="52">
        <v>34</v>
      </c>
      <c r="D7" s="48" t="s">
        <v>27</v>
      </c>
    </row>
    <row r="8" spans="2:4" ht="12.75" hidden="1">
      <c r="B8" s="41"/>
      <c r="C8" s="45"/>
      <c r="D8" s="43">
        <f>IF(AND(C7&gt;65,C7&lt;76),918,0)</f>
        <v>0</v>
      </c>
    </row>
    <row r="9" spans="2:4" ht="12.75" hidden="1">
      <c r="B9" s="41"/>
      <c r="C9" s="45"/>
      <c r="D9" s="43">
        <f>IF(C7&gt;75,2040,0)</f>
        <v>0</v>
      </c>
    </row>
    <row r="10" spans="2:4" ht="12.75" hidden="1">
      <c r="B10" s="41"/>
      <c r="C10" s="45"/>
      <c r="D10" s="43"/>
    </row>
    <row r="11" spans="2:4" ht="13.5" hidden="1" thickBot="1">
      <c r="B11" s="42"/>
      <c r="C11" s="46"/>
      <c r="D11" s="44"/>
    </row>
    <row r="12" ht="13.5" thickBot="1"/>
    <row r="13" spans="2:4" ht="12.75">
      <c r="B13" s="526" t="s">
        <v>11</v>
      </c>
      <c r="C13" s="527"/>
      <c r="D13" s="63">
        <f>IF(C22="no",(SUM(D16:D19)+D21)/2,SUM(D16:D19)+D21)</f>
        <v>2400</v>
      </c>
    </row>
    <row r="14" spans="2:4" ht="38.25">
      <c r="B14" s="79" t="s">
        <v>30</v>
      </c>
      <c r="C14" s="49">
        <v>1</v>
      </c>
      <c r="D14" s="58" t="s">
        <v>28</v>
      </c>
    </row>
    <row r="15" spans="2:4" ht="38.25">
      <c r="B15" s="80" t="s">
        <v>49</v>
      </c>
      <c r="C15" s="50">
        <v>0</v>
      </c>
      <c r="D15" s="43" t="s">
        <v>28</v>
      </c>
    </row>
    <row r="16" spans="2:4" ht="12.75" hidden="1">
      <c r="B16" s="41"/>
      <c r="C16" s="50"/>
      <c r="D16" s="43">
        <f>IF(C14+C15=1,2400,0)</f>
        <v>2400</v>
      </c>
    </row>
    <row r="17" spans="2:4" ht="12.75" hidden="1">
      <c r="B17" s="41"/>
      <c r="C17" s="50"/>
      <c r="D17" s="43">
        <f>IF(C14+C15=2,5100,0)</f>
        <v>0</v>
      </c>
    </row>
    <row r="18" spans="2:4" ht="12.75" hidden="1">
      <c r="B18" s="41"/>
      <c r="C18" s="50"/>
      <c r="D18" s="43">
        <f>IF(C14+C15=3,9100,0)</f>
        <v>0</v>
      </c>
    </row>
    <row r="19" spans="2:4" ht="12.75" hidden="1">
      <c r="B19" s="41"/>
      <c r="C19" s="50"/>
      <c r="D19" s="60">
        <f>IF(C14+C15&gt;3,(9100+(C14+C15-3)*4500),0)</f>
        <v>0</v>
      </c>
    </row>
    <row r="20" spans="2:4" ht="26.25" thickBot="1">
      <c r="B20" s="57" t="s">
        <v>31</v>
      </c>
      <c r="C20" s="51">
        <v>0</v>
      </c>
      <c r="D20" s="44" t="s">
        <v>28</v>
      </c>
    </row>
    <row r="21" spans="2:4" ht="13.5" customHeight="1" hidden="1" thickBot="1">
      <c r="B21" s="42"/>
      <c r="C21" s="51"/>
      <c r="D21" s="56">
        <f>IF(C20&gt;0,C20*2800,0)</f>
        <v>0</v>
      </c>
    </row>
    <row r="22" spans="2:3" ht="26.25" thickBot="1">
      <c r="B22" s="61" t="s">
        <v>46</v>
      </c>
      <c r="C22" s="62" t="s">
        <v>163</v>
      </c>
    </row>
    <row r="23" ht="13.5" thickBot="1"/>
    <row r="24" spans="2:4" ht="12.75">
      <c r="B24" s="526" t="s">
        <v>35</v>
      </c>
      <c r="C24" s="527"/>
      <c r="D24" s="63">
        <f>IF(C30=0,0,(D28+D29)/(C30))</f>
        <v>0</v>
      </c>
    </row>
    <row r="25" spans="2:4" ht="38.25">
      <c r="B25" s="79" t="s">
        <v>32</v>
      </c>
      <c r="C25" s="49">
        <v>0</v>
      </c>
      <c r="D25" s="58" t="s">
        <v>29</v>
      </c>
    </row>
    <row r="26" spans="2:4" ht="38.25">
      <c r="B26" s="80" t="s">
        <v>33</v>
      </c>
      <c r="C26" s="50">
        <v>0</v>
      </c>
      <c r="D26" s="43" t="s">
        <v>29</v>
      </c>
    </row>
    <row r="27" spans="2:4" ht="51.75" thickBot="1">
      <c r="B27" s="80" t="s">
        <v>34</v>
      </c>
      <c r="C27" s="50">
        <v>0</v>
      </c>
      <c r="D27" s="56" t="s">
        <v>29</v>
      </c>
    </row>
    <row r="28" spans="2:4" ht="12.75" hidden="1">
      <c r="B28" s="41"/>
      <c r="C28" s="50"/>
      <c r="D28" s="43">
        <f>IF(C25+C27&gt;0,1150*(C25+C27),0)</f>
        <v>0</v>
      </c>
    </row>
    <row r="29" spans="2:4" ht="13.5" hidden="1" thickBot="1">
      <c r="B29" s="41"/>
      <c r="C29" s="50"/>
      <c r="D29" s="56">
        <f>IF(C26&gt;0,2550*C26,0)</f>
        <v>0</v>
      </c>
    </row>
    <row r="30" spans="2:3" ht="26.25" thickBot="1">
      <c r="B30" s="61" t="s">
        <v>77</v>
      </c>
      <c r="C30" s="62">
        <v>0</v>
      </c>
    </row>
    <row r="31" ht="13.5" thickBot="1"/>
    <row r="32" spans="2:4" ht="12.75">
      <c r="B32" s="526" t="s">
        <v>41</v>
      </c>
      <c r="C32" s="527"/>
      <c r="D32" s="63">
        <f>SUM(D41:D44)</f>
        <v>0</v>
      </c>
    </row>
    <row r="33" spans="2:4" ht="25.5">
      <c r="B33" s="79" t="s">
        <v>36</v>
      </c>
      <c r="C33" s="49">
        <v>0</v>
      </c>
      <c r="D33" s="58" t="s">
        <v>40</v>
      </c>
    </row>
    <row r="34" spans="2:4" ht="25.5">
      <c r="B34" s="80" t="s">
        <v>37</v>
      </c>
      <c r="C34" s="50">
        <v>0</v>
      </c>
      <c r="D34" s="60" t="s">
        <v>40</v>
      </c>
    </row>
    <row r="35" spans="2:4" ht="25.5">
      <c r="B35" s="80" t="s">
        <v>38</v>
      </c>
      <c r="C35" s="50">
        <v>0</v>
      </c>
      <c r="D35" s="60" t="s">
        <v>29</v>
      </c>
    </row>
    <row r="36" spans="2:4" ht="26.25" thickBot="1">
      <c r="B36" s="81" t="s">
        <v>39</v>
      </c>
      <c r="C36" s="51">
        <v>0</v>
      </c>
      <c r="D36" s="44" t="s">
        <v>29</v>
      </c>
    </row>
    <row r="37" spans="2:4" ht="12.75" hidden="1">
      <c r="B37" s="55"/>
      <c r="C37" s="50"/>
      <c r="D37" s="43">
        <f>C33*2316*1.29</f>
        <v>0</v>
      </c>
    </row>
    <row r="38" spans="2:4" ht="12.75" hidden="1">
      <c r="B38" s="55"/>
      <c r="C38" s="50"/>
      <c r="D38" s="43">
        <f>C34*(7038)*1.29</f>
        <v>0</v>
      </c>
    </row>
    <row r="39" spans="2:4" ht="12.75" hidden="1">
      <c r="B39" s="55"/>
      <c r="C39" s="50"/>
      <c r="D39" s="43">
        <f>C35*2316*1.29</f>
        <v>0</v>
      </c>
    </row>
    <row r="40" spans="2:4" ht="13.5" hidden="1" thickBot="1">
      <c r="B40" s="42"/>
      <c r="C40" s="51"/>
      <c r="D40" s="56">
        <f>C36*(7038)*1.29</f>
        <v>0</v>
      </c>
    </row>
    <row r="41" spans="2:4" ht="12.75" hidden="1">
      <c r="B41" s="64"/>
      <c r="C41" s="65"/>
      <c r="D41" s="66">
        <f>IF(C22="No",(D37+D38)/2,D37+D38)</f>
        <v>0</v>
      </c>
    </row>
    <row r="42" spans="2:4" ht="12.75" hidden="1">
      <c r="B42" s="67"/>
      <c r="C42" s="50"/>
      <c r="D42" s="60">
        <f>IF(C30=0,0,(D39+D40)/(C30))</f>
        <v>0</v>
      </c>
    </row>
    <row r="43" spans="1:4" ht="12.75" hidden="1">
      <c r="A43" s="59"/>
      <c r="B43" s="67"/>
      <c r="C43" s="50"/>
      <c r="D43" s="60">
        <f>IF(C47="no",0,2316*1.29)</f>
        <v>0</v>
      </c>
    </row>
    <row r="44" spans="1:4" ht="13.5" hidden="1" thickBot="1">
      <c r="A44" s="59"/>
      <c r="B44" s="57"/>
      <c r="C44" s="51"/>
      <c r="D44" s="56">
        <f>IF(C48="No",0,7038*1.29)</f>
        <v>0</v>
      </c>
    </row>
    <row r="45" ht="13.5" thickBot="1"/>
    <row r="46" spans="2:4" ht="12.75">
      <c r="B46" s="526" t="s">
        <v>22</v>
      </c>
      <c r="C46" s="527"/>
      <c r="D46" s="63">
        <f>SUM(D47:D51)</f>
        <v>0</v>
      </c>
    </row>
    <row r="47" spans="2:4" ht="12.75">
      <c r="B47" s="41" t="s">
        <v>79</v>
      </c>
      <c r="C47" s="49" t="s">
        <v>23</v>
      </c>
      <c r="D47" s="43">
        <f>IF(C47="SI",3246,0)</f>
        <v>0</v>
      </c>
    </row>
    <row r="48" spans="2:4" ht="12.75">
      <c r="B48" s="41" t="s">
        <v>80</v>
      </c>
      <c r="C48" s="50" t="s">
        <v>23</v>
      </c>
      <c r="D48" s="43">
        <f>IF(C48="SI",7242,0)</f>
        <v>0</v>
      </c>
    </row>
    <row r="49" spans="2:4" ht="12.75">
      <c r="B49" s="41" t="s">
        <v>78</v>
      </c>
      <c r="C49" s="50" t="s">
        <v>23</v>
      </c>
      <c r="D49" s="43">
        <f>IF(C49="SI",600,0)</f>
        <v>0</v>
      </c>
    </row>
    <row r="50" spans="2:4" ht="12.75">
      <c r="B50" s="41" t="s">
        <v>24</v>
      </c>
      <c r="C50" s="50" t="s">
        <v>23</v>
      </c>
      <c r="D50" s="43">
        <f>IF(C50="SI",600,0)</f>
        <v>0</v>
      </c>
    </row>
    <row r="51" spans="2:4" ht="13.5" thickBot="1">
      <c r="B51" s="42" t="s">
        <v>81</v>
      </c>
      <c r="C51" s="51" t="s">
        <v>23</v>
      </c>
      <c r="D51" s="44">
        <f>IF(C51="SI",1200,0)</f>
        <v>0</v>
      </c>
    </row>
    <row r="53" spans="1:6" s="89" customFormat="1" ht="16.5" customHeight="1">
      <c r="A53" s="87" t="s">
        <v>47</v>
      </c>
      <c r="B53" s="88"/>
      <c r="C53" s="88"/>
      <c r="D53" s="88"/>
      <c r="E53" s="88"/>
      <c r="F53" s="88"/>
    </row>
    <row r="54" spans="1:6" s="89" customFormat="1" ht="16.5" customHeight="1">
      <c r="A54" s="87" t="s">
        <v>48</v>
      </c>
      <c r="B54" s="88"/>
      <c r="C54" s="88"/>
      <c r="D54" s="88"/>
      <c r="E54" s="88"/>
      <c r="F54" s="88"/>
    </row>
    <row r="55" spans="1:6" s="89" customFormat="1" ht="16.5" customHeight="1">
      <c r="A55" s="87" t="s">
        <v>50</v>
      </c>
      <c r="B55" s="88"/>
      <c r="C55" s="88"/>
      <c r="D55" s="88"/>
      <c r="E55" s="88"/>
      <c r="F55" s="88"/>
    </row>
    <row r="56" spans="1:6" s="89" customFormat="1" ht="16.5" customHeight="1">
      <c r="A56" s="87" t="s">
        <v>51</v>
      </c>
      <c r="B56" s="88"/>
      <c r="C56" s="88"/>
      <c r="D56" s="88"/>
      <c r="E56" s="88"/>
      <c r="F56" s="88"/>
    </row>
  </sheetData>
  <sheetProtection/>
  <mergeCells count="5">
    <mergeCell ref="B32:C32"/>
    <mergeCell ref="B46:C46"/>
    <mergeCell ref="B6:C6"/>
    <mergeCell ref="B13:C13"/>
    <mergeCell ref="B24:C24"/>
  </mergeCells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165"/>
  <sheetViews>
    <sheetView zoomScalePageLayoutView="0" workbookViewId="0" topLeftCell="A133">
      <selection activeCell="D4" sqref="D4"/>
    </sheetView>
  </sheetViews>
  <sheetFormatPr defaultColWidth="11.421875" defaultRowHeight="12.75"/>
  <cols>
    <col min="1" max="1" width="17.421875" style="40" customWidth="1"/>
    <col min="2" max="2" width="72.57421875" style="0" customWidth="1"/>
    <col min="3" max="5" width="11.421875" style="40" customWidth="1"/>
  </cols>
  <sheetData>
    <row r="1" spans="1:5" ht="25.5" customHeight="1">
      <c r="A1" s="549"/>
      <c r="B1" s="224"/>
      <c r="C1" s="551" t="s">
        <v>173</v>
      </c>
      <c r="D1" s="551" t="s">
        <v>174</v>
      </c>
      <c r="E1" s="551" t="s">
        <v>175</v>
      </c>
    </row>
    <row r="2" spans="1:5" ht="25.5" customHeight="1" thickBot="1">
      <c r="A2" s="550"/>
      <c r="B2" s="225" t="s">
        <v>176</v>
      </c>
      <c r="C2" s="552"/>
      <c r="D2" s="552"/>
      <c r="E2" s="552"/>
    </row>
    <row r="3" spans="1:5" ht="25.5" customHeight="1" thickBot="1">
      <c r="A3" s="226">
        <v>1</v>
      </c>
      <c r="B3" s="227" t="s">
        <v>177</v>
      </c>
      <c r="C3" s="228">
        <v>0.015</v>
      </c>
      <c r="D3" s="228">
        <v>0.011</v>
      </c>
      <c r="E3" s="228">
        <v>0.026</v>
      </c>
    </row>
    <row r="4" spans="1:5" ht="25.5" customHeight="1" thickBot="1">
      <c r="A4" s="226">
        <v>113</v>
      </c>
      <c r="B4" s="227" t="s">
        <v>178</v>
      </c>
      <c r="C4" s="228">
        <v>0.0115</v>
      </c>
      <c r="D4" s="228">
        <v>0.011000000000000001</v>
      </c>
      <c r="E4" s="228">
        <v>0.0225</v>
      </c>
    </row>
    <row r="5" spans="1:5" ht="25.5" customHeight="1" thickBot="1">
      <c r="A5" s="226">
        <v>119</v>
      </c>
      <c r="B5" s="227" t="s">
        <v>179</v>
      </c>
      <c r="C5" s="228">
        <v>0.0115</v>
      </c>
      <c r="D5" s="228">
        <v>0.011000000000000001</v>
      </c>
      <c r="E5" s="228">
        <v>0.0225</v>
      </c>
    </row>
    <row r="6" spans="1:5" ht="25.5" customHeight="1" thickBot="1">
      <c r="A6" s="226">
        <v>129</v>
      </c>
      <c r="B6" s="227" t="s">
        <v>180</v>
      </c>
      <c r="C6" s="228">
        <v>0.0225</v>
      </c>
      <c r="D6" s="228">
        <v>0.028999999999999998</v>
      </c>
      <c r="E6" s="228">
        <v>0.0515</v>
      </c>
    </row>
    <row r="7" spans="1:5" ht="25.5" customHeight="1" thickBot="1">
      <c r="A7" s="226">
        <v>130</v>
      </c>
      <c r="B7" s="227" t="s">
        <v>181</v>
      </c>
      <c r="C7" s="228">
        <v>0.0115</v>
      </c>
      <c r="D7" s="228">
        <v>0.011000000000000001</v>
      </c>
      <c r="E7" s="228">
        <v>0.0225</v>
      </c>
    </row>
    <row r="8" spans="1:5" ht="25.5" customHeight="1" thickBot="1">
      <c r="A8" s="226">
        <v>14</v>
      </c>
      <c r="B8" s="227" t="s">
        <v>182</v>
      </c>
      <c r="C8" s="228">
        <v>0.018</v>
      </c>
      <c r="D8" s="228">
        <v>0.015</v>
      </c>
      <c r="E8" s="228">
        <v>0.033</v>
      </c>
    </row>
    <row r="9" spans="1:5" ht="25.5" customHeight="1" thickBot="1">
      <c r="A9" s="226">
        <v>147</v>
      </c>
      <c r="B9" s="227" t="s">
        <v>183</v>
      </c>
      <c r="C9" s="228">
        <v>0.0125</v>
      </c>
      <c r="D9" s="228">
        <v>0.0115</v>
      </c>
      <c r="E9" s="228">
        <v>0.024</v>
      </c>
    </row>
    <row r="10" spans="1:5" ht="25.5" customHeight="1" thickBot="1">
      <c r="A10" s="226">
        <v>15</v>
      </c>
      <c r="B10" s="227" t="s">
        <v>184</v>
      </c>
      <c r="C10" s="228">
        <v>0.016</v>
      </c>
      <c r="D10" s="228">
        <v>0.012</v>
      </c>
      <c r="E10" s="228">
        <v>0.028</v>
      </c>
    </row>
    <row r="11" spans="1:5" ht="25.5" customHeight="1" thickBot="1">
      <c r="A11" s="226">
        <v>16</v>
      </c>
      <c r="B11" s="227" t="s">
        <v>185</v>
      </c>
      <c r="C11" s="228">
        <v>0.016</v>
      </c>
      <c r="D11" s="228">
        <v>0.012</v>
      </c>
      <c r="E11" s="228">
        <v>0.028</v>
      </c>
    </row>
    <row r="12" spans="1:5" ht="25.5" customHeight="1" thickBot="1">
      <c r="A12" s="226">
        <v>164</v>
      </c>
      <c r="B12" s="227" t="s">
        <v>186</v>
      </c>
      <c r="C12" s="228">
        <v>0.0115</v>
      </c>
      <c r="D12" s="228">
        <v>0.011000000000000001</v>
      </c>
      <c r="E12" s="228">
        <v>0.0225</v>
      </c>
    </row>
    <row r="13" spans="1:5" ht="25.5" customHeight="1" thickBot="1">
      <c r="A13" s="226">
        <v>17</v>
      </c>
      <c r="B13" s="227" t="s">
        <v>187</v>
      </c>
      <c r="C13" s="228">
        <v>0.018</v>
      </c>
      <c r="D13" s="228">
        <v>0.015</v>
      </c>
      <c r="E13" s="228">
        <v>0.033</v>
      </c>
    </row>
    <row r="14" spans="1:5" ht="25.5" customHeight="1" thickBot="1">
      <c r="A14" s="226">
        <v>2</v>
      </c>
      <c r="B14" s="227" t="s">
        <v>188</v>
      </c>
      <c r="C14" s="228">
        <v>0.0225</v>
      </c>
      <c r="D14" s="228">
        <v>0.028999999999999998</v>
      </c>
      <c r="E14" s="228">
        <v>0.0515</v>
      </c>
    </row>
    <row r="15" spans="1:5" ht="25.5" customHeight="1" thickBot="1">
      <c r="A15" s="226">
        <v>3</v>
      </c>
      <c r="B15" s="227" t="s">
        <v>189</v>
      </c>
      <c r="C15" s="228">
        <v>0.0305</v>
      </c>
      <c r="D15" s="228">
        <v>0.0335</v>
      </c>
      <c r="E15" s="228">
        <v>0.064</v>
      </c>
    </row>
    <row r="16" spans="1:5" ht="25.5" customHeight="1" thickBot="1">
      <c r="A16" s="229" t="s">
        <v>190</v>
      </c>
      <c r="B16" s="230" t="s">
        <v>191</v>
      </c>
      <c r="C16" s="228">
        <v>0.021</v>
      </c>
      <c r="D16" s="228">
        <v>0.02</v>
      </c>
      <c r="E16" s="228">
        <v>0.041</v>
      </c>
    </row>
    <row r="17" spans="1:5" ht="25.5" customHeight="1" thickBot="1">
      <c r="A17" s="226" t="s">
        <v>192</v>
      </c>
      <c r="B17" s="227" t="s">
        <v>193</v>
      </c>
      <c r="C17" s="228">
        <v>0.0165</v>
      </c>
      <c r="D17" s="228">
        <v>0.017</v>
      </c>
      <c r="E17" s="228">
        <v>0.0335</v>
      </c>
    </row>
    <row r="18" spans="1:5" ht="25.5" customHeight="1" thickBot="1">
      <c r="A18" s="226">
        <v>322</v>
      </c>
      <c r="B18" s="227" t="s">
        <v>194</v>
      </c>
      <c r="C18" s="228">
        <v>0.0305</v>
      </c>
      <c r="D18" s="228">
        <v>0.032</v>
      </c>
      <c r="E18" s="228">
        <v>0.0625</v>
      </c>
    </row>
    <row r="19" spans="1:5" ht="25.5" customHeight="1" thickBot="1">
      <c r="A19" s="226">
        <v>5</v>
      </c>
      <c r="B19" s="227" t="s">
        <v>195</v>
      </c>
      <c r="C19" s="228">
        <v>0.023</v>
      </c>
      <c r="D19" s="228">
        <v>0.028999999999999998</v>
      </c>
      <c r="E19" s="228">
        <v>0.052</v>
      </c>
    </row>
    <row r="20" spans="1:5" ht="25.5" customHeight="1" thickBot="1">
      <c r="A20" s="226" t="s">
        <v>196</v>
      </c>
      <c r="B20" s="227" t="s">
        <v>197</v>
      </c>
      <c r="C20" s="228">
        <v>0.0345</v>
      </c>
      <c r="D20" s="228">
        <v>0.037000000000000005</v>
      </c>
      <c r="E20" s="228">
        <v>0.07150000000000001</v>
      </c>
    </row>
    <row r="21" spans="1:5" ht="25.5" customHeight="1" thickBot="1">
      <c r="A21" s="226">
        <v>6</v>
      </c>
      <c r="B21" s="227" t="s">
        <v>198</v>
      </c>
      <c r="C21" s="228">
        <v>0.023</v>
      </c>
      <c r="D21" s="228">
        <v>0.028999999999999998</v>
      </c>
      <c r="E21" s="228">
        <v>0.052</v>
      </c>
    </row>
    <row r="22" spans="1:5" ht="25.5" customHeight="1" thickBot="1">
      <c r="A22" s="226">
        <v>7</v>
      </c>
      <c r="B22" s="227" t="s">
        <v>199</v>
      </c>
      <c r="C22" s="228">
        <v>0.023</v>
      </c>
      <c r="D22" s="228">
        <v>0.028999999999999998</v>
      </c>
      <c r="E22" s="228">
        <v>0.052</v>
      </c>
    </row>
    <row r="23" spans="1:5" ht="25.5" customHeight="1" thickBot="1">
      <c r="A23" s="226">
        <v>8</v>
      </c>
      <c r="B23" s="227" t="s">
        <v>200</v>
      </c>
      <c r="C23" s="228">
        <v>0.023</v>
      </c>
      <c r="D23" s="228">
        <v>0.028999999999999998</v>
      </c>
      <c r="E23" s="228">
        <v>0.052</v>
      </c>
    </row>
    <row r="24" spans="1:5" ht="25.5" customHeight="1" thickBot="1">
      <c r="A24" s="226">
        <v>811</v>
      </c>
      <c r="B24" s="227" t="s">
        <v>201</v>
      </c>
      <c r="C24" s="228">
        <v>0.0345</v>
      </c>
      <c r="D24" s="228">
        <v>0.037000000000000005</v>
      </c>
      <c r="E24" s="228">
        <v>0.07150000000000001</v>
      </c>
    </row>
    <row r="25" spans="1:5" ht="25.5" customHeight="1" thickBot="1">
      <c r="A25" s="226">
        <v>9</v>
      </c>
      <c r="B25" s="227" t="s">
        <v>202</v>
      </c>
      <c r="C25" s="228">
        <v>0.023</v>
      </c>
      <c r="D25" s="228">
        <v>0.028999999999999998</v>
      </c>
      <c r="E25" s="228">
        <v>0.052</v>
      </c>
    </row>
    <row r="26" spans="1:5" ht="25.5" customHeight="1" thickBot="1">
      <c r="A26" s="229">
        <v>10</v>
      </c>
      <c r="B26" s="230" t="s">
        <v>203</v>
      </c>
      <c r="C26" s="228">
        <v>0.016</v>
      </c>
      <c r="D26" s="228">
        <v>0.016</v>
      </c>
      <c r="E26" s="228">
        <v>0.032</v>
      </c>
    </row>
    <row r="27" spans="1:5" ht="25.5" customHeight="1" thickBot="1">
      <c r="A27" s="226">
        <v>101</v>
      </c>
      <c r="B27" s="227" t="s">
        <v>204</v>
      </c>
      <c r="C27" s="228">
        <v>0.02</v>
      </c>
      <c r="D27" s="228">
        <v>0.019</v>
      </c>
      <c r="E27" s="228">
        <v>0.039</v>
      </c>
    </row>
    <row r="28" spans="1:5" ht="25.5" customHeight="1" thickBot="1">
      <c r="A28" s="226">
        <v>102</v>
      </c>
      <c r="B28" s="227" t="s">
        <v>205</v>
      </c>
      <c r="C28" s="228">
        <v>0.018000000000000002</v>
      </c>
      <c r="D28" s="228">
        <v>0.015</v>
      </c>
      <c r="E28" s="228">
        <v>0.033</v>
      </c>
    </row>
    <row r="29" spans="1:5" ht="25.5" customHeight="1" thickBot="1">
      <c r="A29" s="226">
        <v>106</v>
      </c>
      <c r="B29" s="227" t="s">
        <v>206</v>
      </c>
      <c r="C29" s="228">
        <v>0.017</v>
      </c>
      <c r="D29" s="228">
        <v>0.016</v>
      </c>
      <c r="E29" s="228">
        <v>0.033</v>
      </c>
    </row>
    <row r="30" spans="1:5" ht="25.5" customHeight="1" thickBot="1">
      <c r="A30" s="226">
        <v>107</v>
      </c>
      <c r="B30" s="227" t="s">
        <v>207</v>
      </c>
      <c r="C30" s="228">
        <v>0.0105</v>
      </c>
      <c r="D30" s="228">
        <v>0.009000000000000001</v>
      </c>
      <c r="E30" s="228">
        <v>0.019500000000000003</v>
      </c>
    </row>
    <row r="31" spans="1:5" ht="25.5" customHeight="1" thickBot="1">
      <c r="A31" s="226">
        <v>108</v>
      </c>
      <c r="B31" s="227" t="s">
        <v>208</v>
      </c>
      <c r="C31" s="228">
        <v>0.0105</v>
      </c>
      <c r="D31" s="228">
        <v>0.009000000000000001</v>
      </c>
      <c r="E31" s="228">
        <v>0.019500000000000003</v>
      </c>
    </row>
    <row r="32" spans="1:5" ht="25.5" customHeight="1" thickBot="1">
      <c r="A32" s="226">
        <v>11</v>
      </c>
      <c r="B32" s="227" t="s">
        <v>209</v>
      </c>
      <c r="C32" s="228">
        <v>0.016</v>
      </c>
      <c r="D32" s="228">
        <v>0.016</v>
      </c>
      <c r="E32" s="228">
        <v>0.032</v>
      </c>
    </row>
    <row r="33" spans="1:5" ht="25.5" customHeight="1" thickBot="1">
      <c r="A33" s="226">
        <v>12</v>
      </c>
      <c r="B33" s="227" t="s">
        <v>210</v>
      </c>
      <c r="C33" s="228">
        <v>0.01</v>
      </c>
      <c r="D33" s="228">
        <v>0.008</v>
      </c>
      <c r="E33" s="228">
        <v>0.018000000000000002</v>
      </c>
    </row>
    <row r="34" spans="1:5" ht="25.5" customHeight="1" thickBot="1">
      <c r="A34" s="226">
        <v>13</v>
      </c>
      <c r="B34" s="227" t="s">
        <v>211</v>
      </c>
      <c r="C34" s="228">
        <v>0.01</v>
      </c>
      <c r="D34" s="228">
        <v>0.0085</v>
      </c>
      <c r="E34" s="228">
        <v>0.018500000000000003</v>
      </c>
    </row>
    <row r="35" spans="1:5" ht="25.5" customHeight="1" thickBot="1">
      <c r="A35" s="226">
        <v>1391</v>
      </c>
      <c r="B35" s="227" t="s">
        <v>212</v>
      </c>
      <c r="C35" s="228">
        <v>0.008</v>
      </c>
      <c r="D35" s="228">
        <v>0.006999999999999999</v>
      </c>
      <c r="E35" s="228">
        <v>0.015</v>
      </c>
    </row>
    <row r="36" spans="1:5" ht="25.5" customHeight="1" thickBot="1">
      <c r="A36" s="229">
        <v>14</v>
      </c>
      <c r="B36" s="230" t="s">
        <v>213</v>
      </c>
      <c r="C36" s="228">
        <v>0.005</v>
      </c>
      <c r="D36" s="228">
        <v>0.004</v>
      </c>
      <c r="E36" s="228">
        <v>0.009000000000000001</v>
      </c>
    </row>
    <row r="37" spans="1:5" ht="25.5" customHeight="1" thickBot="1">
      <c r="A37" s="226">
        <v>1411</v>
      </c>
      <c r="B37" s="227" t="s">
        <v>214</v>
      </c>
      <c r="C37" s="228">
        <v>0.015</v>
      </c>
      <c r="D37" s="228">
        <v>0.011000000000000001</v>
      </c>
      <c r="E37" s="228">
        <v>0.026000000000000002</v>
      </c>
    </row>
    <row r="38" spans="1:5" ht="25.5" customHeight="1" thickBot="1">
      <c r="A38" s="226">
        <v>1420</v>
      </c>
      <c r="B38" s="227" t="s">
        <v>215</v>
      </c>
      <c r="C38" s="228">
        <v>0.015</v>
      </c>
      <c r="D38" s="228">
        <v>0.011000000000000001</v>
      </c>
      <c r="E38" s="228">
        <v>0.026000000000000002</v>
      </c>
    </row>
    <row r="39" spans="1:5" ht="25.5" customHeight="1" thickBot="1">
      <c r="A39" s="226">
        <v>143</v>
      </c>
      <c r="B39" s="227" t="s">
        <v>216</v>
      </c>
      <c r="C39" s="228">
        <v>0.008</v>
      </c>
      <c r="D39" s="228">
        <v>0.006999999999999999</v>
      </c>
      <c r="E39" s="228">
        <v>0.015</v>
      </c>
    </row>
    <row r="40" spans="1:5" ht="25.5" customHeight="1" thickBot="1">
      <c r="A40" s="226">
        <v>15</v>
      </c>
      <c r="B40" s="227" t="s">
        <v>217</v>
      </c>
      <c r="C40" s="228">
        <v>0.015</v>
      </c>
      <c r="D40" s="228">
        <v>0.011000000000000001</v>
      </c>
      <c r="E40" s="228">
        <v>0.026000000000000002</v>
      </c>
    </row>
    <row r="41" spans="1:5" ht="25.5" customHeight="1" thickBot="1">
      <c r="A41" s="229">
        <v>16</v>
      </c>
      <c r="B41" s="230" t="s">
        <v>218</v>
      </c>
      <c r="C41" s="228">
        <v>0.0225</v>
      </c>
      <c r="D41" s="228">
        <v>0.028999999999999998</v>
      </c>
      <c r="E41" s="228">
        <v>0.0515</v>
      </c>
    </row>
    <row r="42" spans="1:5" ht="25.5" customHeight="1" thickBot="1">
      <c r="A42" s="226">
        <v>1624</v>
      </c>
      <c r="B42" s="227" t="s">
        <v>219</v>
      </c>
      <c r="C42" s="228">
        <v>0.021</v>
      </c>
      <c r="D42" s="228">
        <v>0.02</v>
      </c>
      <c r="E42" s="228">
        <v>0.041</v>
      </c>
    </row>
    <row r="43" spans="1:5" ht="25.5" customHeight="1" thickBot="1">
      <c r="A43" s="226">
        <v>1629</v>
      </c>
      <c r="B43" s="227" t="s">
        <v>220</v>
      </c>
      <c r="C43" s="228">
        <v>0.021</v>
      </c>
      <c r="D43" s="228">
        <v>0.02</v>
      </c>
      <c r="E43" s="228">
        <v>0.041</v>
      </c>
    </row>
    <row r="44" spans="1:5" ht="25.5" customHeight="1" thickBot="1">
      <c r="A44" s="226">
        <v>17</v>
      </c>
      <c r="B44" s="227" t="s">
        <v>221</v>
      </c>
      <c r="C44" s="228">
        <v>0.01</v>
      </c>
      <c r="D44" s="228">
        <v>0.0105</v>
      </c>
      <c r="E44" s="228">
        <v>0.0205</v>
      </c>
    </row>
    <row r="45" spans="1:5" ht="25.5" customHeight="1" thickBot="1">
      <c r="A45" s="226">
        <v>171</v>
      </c>
      <c r="B45" s="227" t="s">
        <v>222</v>
      </c>
      <c r="C45" s="228">
        <v>0.02</v>
      </c>
      <c r="D45" s="228">
        <v>0.015</v>
      </c>
      <c r="E45" s="228">
        <v>0.035</v>
      </c>
    </row>
    <row r="46" spans="1:5" ht="25.5" customHeight="1" thickBot="1">
      <c r="A46" s="226">
        <v>18</v>
      </c>
      <c r="B46" s="227" t="s">
        <v>223</v>
      </c>
      <c r="C46" s="228">
        <v>0.01</v>
      </c>
      <c r="D46" s="228">
        <v>0.01</v>
      </c>
      <c r="E46" s="228">
        <v>0.02</v>
      </c>
    </row>
    <row r="47" spans="1:5" ht="25.5" customHeight="1" thickBot="1">
      <c r="A47" s="229">
        <v>19</v>
      </c>
      <c r="B47" s="230" t="s">
        <v>224</v>
      </c>
      <c r="C47" s="228">
        <v>0.014499999999999999</v>
      </c>
      <c r="D47" s="228">
        <v>0.019</v>
      </c>
      <c r="E47" s="228">
        <v>0.0335</v>
      </c>
    </row>
    <row r="48" spans="1:5" ht="25.5" customHeight="1" thickBot="1">
      <c r="A48" s="226">
        <v>20</v>
      </c>
      <c r="B48" s="227" t="s">
        <v>225</v>
      </c>
      <c r="C48" s="228">
        <v>0.016</v>
      </c>
      <c r="D48" s="228">
        <v>0.013999999999999999</v>
      </c>
      <c r="E48" s="228">
        <v>0.03</v>
      </c>
    </row>
    <row r="49" spans="1:5" ht="25.5" customHeight="1" thickBot="1">
      <c r="A49" s="226">
        <v>204</v>
      </c>
      <c r="B49" s="231" t="s">
        <v>226</v>
      </c>
      <c r="C49" s="228">
        <v>0.015</v>
      </c>
      <c r="D49" s="228">
        <v>0.012</v>
      </c>
      <c r="E49" s="228">
        <v>0.027</v>
      </c>
    </row>
    <row r="50" spans="1:5" ht="25.5" customHeight="1" thickBot="1">
      <c r="A50" s="226">
        <v>206</v>
      </c>
      <c r="B50" s="227" t="s">
        <v>227</v>
      </c>
      <c r="C50" s="228">
        <v>0.015</v>
      </c>
      <c r="D50" s="228">
        <v>0.012</v>
      </c>
      <c r="E50" s="228">
        <v>0.027</v>
      </c>
    </row>
    <row r="51" spans="1:5" ht="25.5" customHeight="1" thickBot="1">
      <c r="A51" s="226">
        <v>21</v>
      </c>
      <c r="B51" s="227" t="s">
        <v>228</v>
      </c>
      <c r="C51" s="228">
        <v>0.013000000000000001</v>
      </c>
      <c r="D51" s="228">
        <v>0.011000000000000001</v>
      </c>
      <c r="E51" s="228">
        <v>0.024</v>
      </c>
    </row>
    <row r="52" spans="1:5" ht="25.5" customHeight="1" thickBot="1">
      <c r="A52" s="226">
        <v>22</v>
      </c>
      <c r="B52" s="227" t="s">
        <v>229</v>
      </c>
      <c r="C52" s="228">
        <v>0.0175</v>
      </c>
      <c r="D52" s="228">
        <v>0.0125</v>
      </c>
      <c r="E52" s="228">
        <v>0.030000000000000002</v>
      </c>
    </row>
    <row r="53" spans="1:5" ht="25.5" customHeight="1" thickBot="1">
      <c r="A53" s="229">
        <v>23</v>
      </c>
      <c r="B53" s="230" t="s">
        <v>230</v>
      </c>
      <c r="C53" s="228">
        <v>0.021</v>
      </c>
      <c r="D53" s="228">
        <v>0.02</v>
      </c>
      <c r="E53" s="228">
        <v>0.041</v>
      </c>
    </row>
    <row r="54" spans="1:5" ht="25.5" customHeight="1" thickBot="1">
      <c r="A54" s="226">
        <v>231</v>
      </c>
      <c r="B54" s="227" t="s">
        <v>231</v>
      </c>
      <c r="C54" s="228">
        <v>0.016</v>
      </c>
      <c r="D54" s="228">
        <v>0.015</v>
      </c>
      <c r="E54" s="228">
        <v>0.031</v>
      </c>
    </row>
    <row r="55" spans="1:5" ht="25.5" customHeight="1" thickBot="1">
      <c r="A55" s="226">
        <v>232</v>
      </c>
      <c r="B55" s="227" t="s">
        <v>232</v>
      </c>
      <c r="C55" s="228">
        <v>0.016</v>
      </c>
      <c r="D55" s="228">
        <v>0.015</v>
      </c>
      <c r="E55" s="228">
        <v>0.031</v>
      </c>
    </row>
    <row r="56" spans="1:5" ht="25.5" customHeight="1" thickBot="1">
      <c r="A56" s="226">
        <v>2331</v>
      </c>
      <c r="B56" s="227" t="s">
        <v>233</v>
      </c>
      <c r="C56" s="228">
        <v>0.016</v>
      </c>
      <c r="D56" s="228">
        <v>0.015</v>
      </c>
      <c r="E56" s="228">
        <v>0.031</v>
      </c>
    </row>
    <row r="57" spans="1:5" ht="25.5" customHeight="1" thickBot="1">
      <c r="A57" s="226">
        <v>234</v>
      </c>
      <c r="B57" s="227" t="s">
        <v>234</v>
      </c>
      <c r="C57" s="228">
        <v>0.016</v>
      </c>
      <c r="D57" s="228">
        <v>0.015</v>
      </c>
      <c r="E57" s="228">
        <v>0.031</v>
      </c>
    </row>
    <row r="58" spans="1:5" ht="25.5" customHeight="1" thickBot="1">
      <c r="A58" s="226">
        <v>237</v>
      </c>
      <c r="B58" s="227" t="s">
        <v>235</v>
      </c>
      <c r="C58" s="228">
        <v>0.0275</v>
      </c>
      <c r="D58" s="228">
        <v>0.0335</v>
      </c>
      <c r="E58" s="228">
        <v>0.061</v>
      </c>
    </row>
    <row r="59" spans="1:5" ht="25.5" customHeight="1" thickBot="1">
      <c r="A59" s="226">
        <v>24</v>
      </c>
      <c r="B59" s="227" t="s">
        <v>236</v>
      </c>
      <c r="C59" s="228">
        <v>0.02</v>
      </c>
      <c r="D59" s="228">
        <v>0.018500000000000003</v>
      </c>
      <c r="E59" s="228">
        <v>0.038500000000000006</v>
      </c>
    </row>
    <row r="60" spans="1:5" ht="25.5" customHeight="1" thickBot="1">
      <c r="A60" s="226">
        <v>25</v>
      </c>
      <c r="B60" s="227" t="s">
        <v>237</v>
      </c>
      <c r="C60" s="228">
        <v>0.02</v>
      </c>
      <c r="D60" s="228">
        <v>0.018500000000000003</v>
      </c>
      <c r="E60" s="228">
        <v>0.038500000000000006</v>
      </c>
    </row>
    <row r="61" spans="1:5" ht="25.5" customHeight="1" thickBot="1">
      <c r="A61" s="226">
        <v>26</v>
      </c>
      <c r="B61" s="227" t="s">
        <v>238</v>
      </c>
      <c r="C61" s="228">
        <v>0.015</v>
      </c>
      <c r="D61" s="228">
        <v>0.011000000000000001</v>
      </c>
      <c r="E61" s="228">
        <v>0.026000000000000002</v>
      </c>
    </row>
    <row r="62" spans="1:5" ht="25.5" customHeight="1" thickBot="1">
      <c r="A62" s="226">
        <v>27</v>
      </c>
      <c r="B62" s="227" t="s">
        <v>239</v>
      </c>
      <c r="C62" s="228">
        <v>0.016</v>
      </c>
      <c r="D62" s="228">
        <v>0.012</v>
      </c>
      <c r="E62" s="228">
        <v>0.028</v>
      </c>
    </row>
    <row r="63" spans="1:5" ht="25.5" customHeight="1" thickBot="1">
      <c r="A63" s="226">
        <v>28</v>
      </c>
      <c r="B63" s="227" t="s">
        <v>240</v>
      </c>
      <c r="C63" s="228">
        <v>0.02</v>
      </c>
      <c r="D63" s="228">
        <v>0.018500000000000003</v>
      </c>
      <c r="E63" s="228">
        <v>0.038500000000000006</v>
      </c>
    </row>
    <row r="64" spans="1:5" ht="25.5" customHeight="1" thickBot="1">
      <c r="A64" s="226">
        <v>29</v>
      </c>
      <c r="B64" s="227" t="s">
        <v>241</v>
      </c>
      <c r="C64" s="228">
        <v>0.016</v>
      </c>
      <c r="D64" s="228">
        <v>0.012</v>
      </c>
      <c r="E64" s="228">
        <v>0.028</v>
      </c>
    </row>
    <row r="65" spans="1:5" ht="25.5" customHeight="1" thickBot="1">
      <c r="A65" s="229">
        <v>30</v>
      </c>
      <c r="B65" s="232" t="s">
        <v>242</v>
      </c>
      <c r="C65" s="228">
        <v>0.02</v>
      </c>
      <c r="D65" s="228">
        <v>0.018500000000000003</v>
      </c>
      <c r="E65" s="228">
        <v>0.038500000000000006</v>
      </c>
    </row>
    <row r="66" spans="1:5" ht="25.5" customHeight="1" thickBot="1">
      <c r="A66" s="226">
        <v>3091</v>
      </c>
      <c r="B66" s="227" t="s">
        <v>243</v>
      </c>
      <c r="C66" s="228">
        <v>0.016</v>
      </c>
      <c r="D66" s="228">
        <v>0.012</v>
      </c>
      <c r="E66" s="228">
        <v>0.028</v>
      </c>
    </row>
    <row r="67" spans="1:5" ht="25.5" customHeight="1" thickBot="1">
      <c r="A67" s="226">
        <v>3092</v>
      </c>
      <c r="B67" s="227" t="s">
        <v>244</v>
      </c>
      <c r="C67" s="228">
        <v>0.016</v>
      </c>
      <c r="D67" s="228">
        <v>0.012</v>
      </c>
      <c r="E67" s="228">
        <v>0.028</v>
      </c>
    </row>
    <row r="68" spans="1:5" ht="25.5" customHeight="1" thickBot="1">
      <c r="A68" s="226">
        <v>31</v>
      </c>
      <c r="B68" s="227" t="s">
        <v>245</v>
      </c>
      <c r="C68" s="228">
        <v>0.02</v>
      </c>
      <c r="D68" s="228">
        <v>0.018500000000000003</v>
      </c>
      <c r="E68" s="228">
        <v>0.038500000000000006</v>
      </c>
    </row>
    <row r="69" spans="1:5" ht="25.5" customHeight="1" thickBot="1">
      <c r="A69" s="226">
        <v>32</v>
      </c>
      <c r="B69" s="227" t="s">
        <v>246</v>
      </c>
      <c r="C69" s="228">
        <v>0.016</v>
      </c>
      <c r="D69" s="228">
        <v>0.012</v>
      </c>
      <c r="E69" s="228">
        <v>0.028</v>
      </c>
    </row>
    <row r="70" spans="1:5" ht="25.5" customHeight="1" thickBot="1">
      <c r="A70" s="226">
        <v>321</v>
      </c>
      <c r="B70" s="227" t="s">
        <v>247</v>
      </c>
      <c r="C70" s="228">
        <v>0.01</v>
      </c>
      <c r="D70" s="228">
        <v>0.0085</v>
      </c>
      <c r="E70" s="228">
        <v>0.018500000000000003</v>
      </c>
    </row>
    <row r="71" spans="1:5" ht="25.5" customHeight="1" thickBot="1">
      <c r="A71" s="226">
        <v>322</v>
      </c>
      <c r="B71" s="227" t="s">
        <v>248</v>
      </c>
      <c r="C71" s="228">
        <v>0.01</v>
      </c>
      <c r="D71" s="228">
        <v>0.0085</v>
      </c>
      <c r="E71" s="228">
        <v>0.018500000000000003</v>
      </c>
    </row>
    <row r="72" spans="1:5" ht="25.5" customHeight="1" thickBot="1">
      <c r="A72" s="229">
        <v>33</v>
      </c>
      <c r="B72" s="230" t="s">
        <v>249</v>
      </c>
      <c r="C72" s="228">
        <v>0.02</v>
      </c>
      <c r="D72" s="228">
        <v>0.018500000000000003</v>
      </c>
      <c r="E72" s="228">
        <v>0.038500000000000006</v>
      </c>
    </row>
    <row r="73" spans="1:5" ht="25.5" customHeight="1" thickBot="1">
      <c r="A73" s="226">
        <v>3313</v>
      </c>
      <c r="B73" s="227" t="s">
        <v>250</v>
      </c>
      <c r="C73" s="228">
        <v>0.015</v>
      </c>
      <c r="D73" s="228">
        <v>0.011000000000000001</v>
      </c>
      <c r="E73" s="228">
        <v>0.026000000000000002</v>
      </c>
    </row>
    <row r="74" spans="1:5" ht="25.5" customHeight="1" thickBot="1">
      <c r="A74" s="226">
        <v>3314</v>
      </c>
      <c r="B74" s="227" t="s">
        <v>251</v>
      </c>
      <c r="C74" s="228">
        <v>0.016</v>
      </c>
      <c r="D74" s="228">
        <v>0.012</v>
      </c>
      <c r="E74" s="228">
        <v>0.028</v>
      </c>
    </row>
    <row r="75" spans="1:5" ht="25.5" customHeight="1" thickBot="1">
      <c r="A75" s="226">
        <v>35</v>
      </c>
      <c r="B75" s="227" t="s">
        <v>252</v>
      </c>
      <c r="C75" s="228">
        <v>0.018000000000000002</v>
      </c>
      <c r="D75" s="228">
        <v>0.015</v>
      </c>
      <c r="E75" s="228">
        <v>0.033</v>
      </c>
    </row>
    <row r="76" spans="1:5" ht="25.5" customHeight="1" thickBot="1">
      <c r="A76" s="226">
        <v>36</v>
      </c>
      <c r="B76" s="227" t="s">
        <v>253</v>
      </c>
      <c r="C76" s="228">
        <v>0.021</v>
      </c>
      <c r="D76" s="228">
        <v>0.016</v>
      </c>
      <c r="E76" s="228">
        <v>0.037000000000000005</v>
      </c>
    </row>
    <row r="77" spans="1:5" ht="25.5" customHeight="1" thickBot="1">
      <c r="A77" s="226">
        <v>37</v>
      </c>
      <c r="B77" s="227" t="s">
        <v>254</v>
      </c>
      <c r="C77" s="228">
        <v>0.021</v>
      </c>
      <c r="D77" s="228">
        <v>0.016</v>
      </c>
      <c r="E77" s="228">
        <v>0.037000000000000005</v>
      </c>
    </row>
    <row r="78" spans="1:5" ht="25.5" customHeight="1" thickBot="1">
      <c r="A78" s="229">
        <v>38</v>
      </c>
      <c r="B78" s="230" t="s">
        <v>255</v>
      </c>
      <c r="C78" s="228">
        <v>0.021</v>
      </c>
      <c r="D78" s="228">
        <v>0.016</v>
      </c>
      <c r="E78" s="228">
        <v>0.037000000000000005</v>
      </c>
    </row>
    <row r="79" spans="1:5" ht="25.5" customHeight="1" thickBot="1">
      <c r="A79" s="226">
        <v>39</v>
      </c>
      <c r="B79" s="227" t="s">
        <v>256</v>
      </c>
      <c r="C79" s="228">
        <v>0.021</v>
      </c>
      <c r="D79" s="228">
        <v>0.016</v>
      </c>
      <c r="E79" s="228">
        <v>0.037000000000000005</v>
      </c>
    </row>
    <row r="80" spans="1:5" ht="25.5" customHeight="1" thickBot="1">
      <c r="A80" s="226">
        <v>41</v>
      </c>
      <c r="B80" s="227" t="s">
        <v>257</v>
      </c>
      <c r="C80" s="228">
        <v>0.0335</v>
      </c>
      <c r="D80" s="228">
        <v>0.0335</v>
      </c>
      <c r="E80" s="228">
        <v>0.067</v>
      </c>
    </row>
    <row r="81" spans="1:5" ht="25.5" customHeight="1" thickBot="1">
      <c r="A81" s="226">
        <v>411</v>
      </c>
      <c r="B81" s="227" t="s">
        <v>258</v>
      </c>
      <c r="C81" s="228">
        <v>0.0085</v>
      </c>
      <c r="D81" s="228">
        <v>0.008</v>
      </c>
      <c r="E81" s="228">
        <v>0.0165</v>
      </c>
    </row>
    <row r="82" spans="1:5" ht="25.5" customHeight="1" thickBot="1">
      <c r="A82" s="226">
        <v>42</v>
      </c>
      <c r="B82" s="227" t="s">
        <v>259</v>
      </c>
      <c r="C82" s="228">
        <v>0.0335</v>
      </c>
      <c r="D82" s="228">
        <v>0.0335</v>
      </c>
      <c r="E82" s="228">
        <v>0.067</v>
      </c>
    </row>
    <row r="83" spans="1:5" ht="25.5" customHeight="1" thickBot="1">
      <c r="A83" s="226">
        <v>43</v>
      </c>
      <c r="B83" s="227" t="s">
        <v>260</v>
      </c>
      <c r="C83" s="228">
        <v>0.0335</v>
      </c>
      <c r="D83" s="228">
        <v>0.0335</v>
      </c>
      <c r="E83" s="228">
        <v>0.067</v>
      </c>
    </row>
    <row r="84" spans="1:5" ht="25.5" customHeight="1" thickBot="1">
      <c r="A84" s="229">
        <v>45</v>
      </c>
      <c r="B84" s="230" t="s">
        <v>261</v>
      </c>
      <c r="C84" s="228">
        <v>0.01</v>
      </c>
      <c r="D84" s="228">
        <v>0.0105</v>
      </c>
      <c r="E84" s="228">
        <v>0.0205</v>
      </c>
    </row>
    <row r="85" spans="1:5" ht="25.5" customHeight="1" thickBot="1">
      <c r="A85" s="226">
        <v>452</v>
      </c>
      <c r="B85" s="227" t="s">
        <v>262</v>
      </c>
      <c r="C85" s="228">
        <v>0.0245</v>
      </c>
      <c r="D85" s="228">
        <v>0.02</v>
      </c>
      <c r="E85" s="228">
        <v>0.0445</v>
      </c>
    </row>
    <row r="86" spans="1:5" ht="25.5" customHeight="1" thickBot="1">
      <c r="A86" s="226">
        <v>454</v>
      </c>
      <c r="B86" s="227" t="s">
        <v>263</v>
      </c>
      <c r="C86" s="228">
        <v>0.017</v>
      </c>
      <c r="D86" s="228">
        <v>0.012</v>
      </c>
      <c r="E86" s="228">
        <v>0.029</v>
      </c>
    </row>
    <row r="87" spans="1:5" ht="25.5" customHeight="1" thickBot="1">
      <c r="A87" s="226">
        <v>46</v>
      </c>
      <c r="B87" s="227" t="s">
        <v>264</v>
      </c>
      <c r="C87" s="228">
        <v>0.013999999999999999</v>
      </c>
      <c r="D87" s="228">
        <v>0.012</v>
      </c>
      <c r="E87" s="228">
        <v>0.026</v>
      </c>
    </row>
    <row r="88" spans="1:5" ht="25.5" customHeight="1" thickBot="1">
      <c r="A88" s="226">
        <v>4623</v>
      </c>
      <c r="B88" s="227" t="s">
        <v>265</v>
      </c>
      <c r="C88" s="228">
        <v>0.018000000000000002</v>
      </c>
      <c r="D88" s="228">
        <v>0.015</v>
      </c>
      <c r="E88" s="228">
        <v>0.033</v>
      </c>
    </row>
    <row r="89" spans="1:5" ht="25.5" customHeight="1" thickBot="1">
      <c r="A89" s="226">
        <v>4624</v>
      </c>
      <c r="B89" s="227" t="s">
        <v>266</v>
      </c>
      <c r="C89" s="228">
        <v>0.018000000000000002</v>
      </c>
      <c r="D89" s="228">
        <v>0.015</v>
      </c>
      <c r="E89" s="228">
        <v>0.033</v>
      </c>
    </row>
    <row r="90" spans="1:5" ht="25.5" customHeight="1" thickBot="1">
      <c r="A90" s="226">
        <v>4632</v>
      </c>
      <c r="B90" s="227" t="s">
        <v>267</v>
      </c>
      <c r="C90" s="228">
        <v>0.018000000000000002</v>
      </c>
      <c r="D90" s="228">
        <v>0.015</v>
      </c>
      <c r="E90" s="228">
        <v>0.033</v>
      </c>
    </row>
    <row r="91" spans="1:5" ht="25.5" customHeight="1" thickBot="1">
      <c r="A91" s="226">
        <v>4638</v>
      </c>
      <c r="B91" s="227" t="s">
        <v>268</v>
      </c>
      <c r="C91" s="228">
        <v>0.016</v>
      </c>
      <c r="D91" s="228">
        <v>0.013999999999999999</v>
      </c>
      <c r="E91" s="228">
        <v>0.03</v>
      </c>
    </row>
    <row r="92" spans="1:5" ht="25.5" customHeight="1" thickBot="1">
      <c r="A92" s="226">
        <v>4672</v>
      </c>
      <c r="B92" s="227" t="s">
        <v>269</v>
      </c>
      <c r="C92" s="228">
        <v>0.018000000000000002</v>
      </c>
      <c r="D92" s="228">
        <v>0.015</v>
      </c>
      <c r="E92" s="228">
        <v>0.033</v>
      </c>
    </row>
    <row r="93" spans="1:5" ht="25.5" customHeight="1" thickBot="1">
      <c r="A93" s="226">
        <v>4673</v>
      </c>
      <c r="B93" s="227" t="s">
        <v>270</v>
      </c>
      <c r="C93" s="228">
        <v>0.018000000000000002</v>
      </c>
      <c r="D93" s="228">
        <v>0.015</v>
      </c>
      <c r="E93" s="228">
        <v>0.033</v>
      </c>
    </row>
    <row r="94" spans="1:5" ht="25.5" customHeight="1" thickBot="1">
      <c r="A94" s="226">
        <v>4674</v>
      </c>
      <c r="B94" s="227" t="s">
        <v>271</v>
      </c>
      <c r="C94" s="228">
        <v>0.018000000000000002</v>
      </c>
      <c r="D94" s="228">
        <v>0.0155</v>
      </c>
      <c r="E94" s="228">
        <v>0.0335</v>
      </c>
    </row>
    <row r="95" spans="1:5" ht="25.5" customHeight="1" thickBot="1">
      <c r="A95" s="226">
        <v>4677</v>
      </c>
      <c r="B95" s="227" t="s">
        <v>272</v>
      </c>
      <c r="C95" s="228">
        <v>0.018000000000000002</v>
      </c>
      <c r="D95" s="228">
        <v>0.0155</v>
      </c>
      <c r="E95" s="228">
        <v>0.0335</v>
      </c>
    </row>
    <row r="96" spans="1:5" ht="25.5" customHeight="1" thickBot="1">
      <c r="A96" s="226">
        <v>4690</v>
      </c>
      <c r="B96" s="227" t="s">
        <v>273</v>
      </c>
      <c r="C96" s="228">
        <v>0.018000000000000002</v>
      </c>
      <c r="D96" s="228">
        <v>0.0155</v>
      </c>
      <c r="E96" s="228">
        <v>0.0335</v>
      </c>
    </row>
    <row r="97" spans="1:5" ht="25.5" customHeight="1" thickBot="1">
      <c r="A97" s="226">
        <v>47</v>
      </c>
      <c r="B97" s="227" t="s">
        <v>274</v>
      </c>
      <c r="C97" s="228">
        <v>0.0095</v>
      </c>
      <c r="D97" s="228">
        <v>0.006999999999999999</v>
      </c>
      <c r="E97" s="228">
        <v>0.0165</v>
      </c>
    </row>
    <row r="98" spans="1:5" ht="25.5" customHeight="1" thickBot="1">
      <c r="A98" s="226">
        <v>473</v>
      </c>
      <c r="B98" s="227" t="s">
        <v>275</v>
      </c>
      <c r="C98" s="228">
        <v>0.01</v>
      </c>
      <c r="D98" s="228">
        <v>0.0085</v>
      </c>
      <c r="E98" s="228">
        <v>0.018500000000000003</v>
      </c>
    </row>
    <row r="99" spans="1:5" ht="25.5" customHeight="1" thickBot="1">
      <c r="A99" s="226">
        <v>49</v>
      </c>
      <c r="B99" s="227" t="s">
        <v>276</v>
      </c>
      <c r="C99" s="228">
        <v>0.018000000000000002</v>
      </c>
      <c r="D99" s="228">
        <v>0.015</v>
      </c>
      <c r="E99" s="228">
        <v>0.033</v>
      </c>
    </row>
    <row r="100" spans="1:5" ht="25.5" customHeight="1" thickBot="1">
      <c r="A100" s="226">
        <v>494</v>
      </c>
      <c r="B100" s="227" t="s">
        <v>277</v>
      </c>
      <c r="C100" s="228">
        <v>0.02</v>
      </c>
      <c r="D100" s="228">
        <v>0.017</v>
      </c>
      <c r="E100" s="228">
        <v>0.037000000000000005</v>
      </c>
    </row>
    <row r="101" spans="1:5" ht="25.5" customHeight="1" thickBot="1">
      <c r="A101" s="226">
        <v>50</v>
      </c>
      <c r="B101" s="227" t="s">
        <v>278</v>
      </c>
      <c r="C101" s="228">
        <v>0.02</v>
      </c>
      <c r="D101" s="228">
        <v>0.018500000000000003</v>
      </c>
      <c r="E101" s="228">
        <v>0.038500000000000006</v>
      </c>
    </row>
    <row r="102" spans="1:5" ht="25.5" customHeight="1" thickBot="1">
      <c r="A102" s="226">
        <v>51</v>
      </c>
      <c r="B102" s="227" t="s">
        <v>279</v>
      </c>
      <c r="C102" s="228">
        <v>0.019</v>
      </c>
      <c r="D102" s="228">
        <v>0.017</v>
      </c>
      <c r="E102" s="228">
        <v>0.036000000000000004</v>
      </c>
    </row>
    <row r="103" spans="1:5" ht="25.5" customHeight="1" thickBot="1">
      <c r="A103" s="229">
        <v>52</v>
      </c>
      <c r="B103" s="230" t="s">
        <v>280</v>
      </c>
      <c r="C103" s="228">
        <v>0.018000000000000002</v>
      </c>
      <c r="D103" s="228">
        <v>0.015</v>
      </c>
      <c r="E103" s="228">
        <v>0.033</v>
      </c>
    </row>
    <row r="104" spans="1:5" ht="25.5" customHeight="1" thickBot="1">
      <c r="A104" s="226" t="s">
        <v>281</v>
      </c>
      <c r="B104" s="227" t="s">
        <v>282</v>
      </c>
      <c r="C104" s="228">
        <v>0.0335</v>
      </c>
      <c r="D104" s="228">
        <v>0.0335</v>
      </c>
      <c r="E104" s="228">
        <v>0.067</v>
      </c>
    </row>
    <row r="105" spans="1:5" ht="25.5" customHeight="1" thickBot="1">
      <c r="A105" s="226">
        <v>5221</v>
      </c>
      <c r="B105" s="227" t="s">
        <v>283</v>
      </c>
      <c r="C105" s="228">
        <v>0.01</v>
      </c>
      <c r="D105" s="228">
        <v>0.011000000000000001</v>
      </c>
      <c r="E105" s="228">
        <v>0.021</v>
      </c>
    </row>
    <row r="106" spans="1:5" ht="25.5" customHeight="1" thickBot="1">
      <c r="A106" s="226">
        <v>53</v>
      </c>
      <c r="B106" s="227" t="s">
        <v>284</v>
      </c>
      <c r="C106" s="228">
        <v>0.01</v>
      </c>
      <c r="D106" s="228">
        <v>0.0075</v>
      </c>
      <c r="E106" s="228">
        <v>0.0175</v>
      </c>
    </row>
    <row r="107" spans="1:5" ht="25.5" customHeight="1" thickBot="1">
      <c r="A107" s="226">
        <v>55</v>
      </c>
      <c r="B107" s="227" t="s">
        <v>285</v>
      </c>
      <c r="C107" s="228">
        <v>0.0075</v>
      </c>
      <c r="D107" s="228">
        <v>0.005</v>
      </c>
      <c r="E107" s="228">
        <v>0.0125</v>
      </c>
    </row>
    <row r="108" spans="1:5" ht="25.5" customHeight="1" thickBot="1">
      <c r="A108" s="226">
        <v>56</v>
      </c>
      <c r="B108" s="227" t="s">
        <v>286</v>
      </c>
      <c r="C108" s="228">
        <v>0.0075</v>
      </c>
      <c r="D108" s="228">
        <v>0.005</v>
      </c>
      <c r="E108" s="228">
        <v>0.0125</v>
      </c>
    </row>
    <row r="109" spans="1:5" ht="25.5" customHeight="1" thickBot="1">
      <c r="A109" s="226">
        <v>58</v>
      </c>
      <c r="B109" s="227" t="s">
        <v>287</v>
      </c>
      <c r="C109" s="228">
        <v>0.006500000000000001</v>
      </c>
      <c r="D109" s="228">
        <v>0.01</v>
      </c>
      <c r="E109" s="228">
        <v>0.0165</v>
      </c>
    </row>
    <row r="110" spans="1:5" ht="25.5" customHeight="1" thickBot="1">
      <c r="A110" s="226">
        <v>59</v>
      </c>
      <c r="B110" s="227" t="s">
        <v>288</v>
      </c>
      <c r="C110" s="228">
        <v>0.0075</v>
      </c>
      <c r="D110" s="228">
        <v>0.005</v>
      </c>
      <c r="E110" s="228">
        <v>0.0125</v>
      </c>
    </row>
    <row r="111" spans="1:5" ht="25.5" customHeight="1" thickBot="1">
      <c r="A111" s="226">
        <v>60</v>
      </c>
      <c r="B111" s="227" t="s">
        <v>289</v>
      </c>
      <c r="C111" s="228">
        <v>0.0075</v>
      </c>
      <c r="D111" s="228">
        <v>0.005</v>
      </c>
      <c r="E111" s="228">
        <v>0.0125</v>
      </c>
    </row>
    <row r="112" spans="1:5" ht="25.5" customHeight="1" thickBot="1">
      <c r="A112" s="226">
        <v>61</v>
      </c>
      <c r="B112" s="227" t="s">
        <v>290</v>
      </c>
      <c r="C112" s="228">
        <v>0.006999999999999999</v>
      </c>
      <c r="D112" s="228">
        <v>0.006999999999999999</v>
      </c>
      <c r="E112" s="228">
        <v>0.013999999999999999</v>
      </c>
    </row>
    <row r="113" spans="1:5" ht="25.5" customHeight="1" thickBot="1">
      <c r="A113" s="226">
        <v>62</v>
      </c>
      <c r="B113" s="227" t="s">
        <v>291</v>
      </c>
      <c r="C113" s="228">
        <v>0.006500000000000001</v>
      </c>
      <c r="D113" s="228">
        <v>0.006999999999999999</v>
      </c>
      <c r="E113" s="228">
        <v>0.0135</v>
      </c>
    </row>
    <row r="114" spans="1:5" ht="25.5" customHeight="1" thickBot="1">
      <c r="A114" s="226">
        <v>63</v>
      </c>
      <c r="B114" s="227" t="s">
        <v>292</v>
      </c>
      <c r="C114" s="228">
        <v>0.006500000000000001</v>
      </c>
      <c r="D114" s="228">
        <v>0.01</v>
      </c>
      <c r="E114" s="228">
        <v>0.0165</v>
      </c>
    </row>
    <row r="115" spans="1:5" ht="25.5" customHeight="1" thickBot="1">
      <c r="A115" s="226">
        <v>6391</v>
      </c>
      <c r="B115" s="227" t="s">
        <v>293</v>
      </c>
      <c r="C115" s="228">
        <v>0.0075</v>
      </c>
      <c r="D115" s="228">
        <v>0.005</v>
      </c>
      <c r="E115" s="228">
        <v>0.0125</v>
      </c>
    </row>
    <row r="116" spans="1:5" ht="25.5" customHeight="1" thickBot="1">
      <c r="A116" s="226">
        <v>64</v>
      </c>
      <c r="B116" s="227" t="s">
        <v>294</v>
      </c>
      <c r="C116" s="228">
        <v>0.006500000000000001</v>
      </c>
      <c r="D116" s="228">
        <v>0.0034999999999999996</v>
      </c>
      <c r="E116" s="228">
        <v>0.01</v>
      </c>
    </row>
    <row r="117" spans="1:5" ht="25.5" customHeight="1" thickBot="1">
      <c r="A117" s="229">
        <v>65</v>
      </c>
      <c r="B117" s="230" t="s">
        <v>295</v>
      </c>
      <c r="C117" s="228">
        <v>0.006500000000000001</v>
      </c>
      <c r="D117" s="228">
        <v>0.0034999999999999996</v>
      </c>
      <c r="E117" s="228">
        <v>0.01</v>
      </c>
    </row>
    <row r="118" spans="1:5" ht="25.5" customHeight="1" thickBot="1">
      <c r="A118" s="226">
        <v>66</v>
      </c>
      <c r="B118" s="227" t="s">
        <v>296</v>
      </c>
      <c r="C118" s="228">
        <v>0.006500000000000001</v>
      </c>
      <c r="D118" s="228">
        <v>0.0034999999999999996</v>
      </c>
      <c r="E118" s="228">
        <v>0.01</v>
      </c>
    </row>
    <row r="119" spans="1:5" ht="25.5" customHeight="1" thickBot="1">
      <c r="A119" s="226">
        <v>68</v>
      </c>
      <c r="B119" s="227" t="s">
        <v>297</v>
      </c>
      <c r="C119" s="228">
        <v>0.006500000000000001</v>
      </c>
      <c r="D119" s="228">
        <v>0.01</v>
      </c>
      <c r="E119" s="228">
        <v>0.0165</v>
      </c>
    </row>
    <row r="120" spans="1:5" ht="25.5" customHeight="1" thickBot="1">
      <c r="A120" s="226">
        <v>69</v>
      </c>
      <c r="B120" s="227" t="s">
        <v>298</v>
      </c>
      <c r="C120" s="228">
        <v>0.006500000000000001</v>
      </c>
      <c r="D120" s="228">
        <v>0.006999999999999999</v>
      </c>
      <c r="E120" s="228">
        <v>0.0135</v>
      </c>
    </row>
    <row r="121" spans="1:5" ht="25.5" customHeight="1" thickBot="1">
      <c r="A121" s="226">
        <v>70</v>
      </c>
      <c r="B121" s="227" t="s">
        <v>299</v>
      </c>
      <c r="C121" s="228">
        <v>0.0075</v>
      </c>
      <c r="D121" s="228">
        <v>0.006</v>
      </c>
      <c r="E121" s="228">
        <v>0.0135</v>
      </c>
    </row>
    <row r="122" spans="1:5" ht="25.5" customHeight="1" thickBot="1">
      <c r="A122" s="226">
        <v>71</v>
      </c>
      <c r="B122" s="227" t="s">
        <v>300</v>
      </c>
      <c r="C122" s="228">
        <v>0.006500000000000001</v>
      </c>
      <c r="D122" s="228">
        <v>0.01</v>
      </c>
      <c r="E122" s="228">
        <v>0.0165</v>
      </c>
    </row>
    <row r="123" spans="1:5" ht="25.5" customHeight="1" thickBot="1">
      <c r="A123" s="226">
        <v>72</v>
      </c>
      <c r="B123" s="227" t="s">
        <v>301</v>
      </c>
      <c r="C123" s="228">
        <v>0.006500000000000001</v>
      </c>
      <c r="D123" s="228">
        <v>0.0034999999999999996</v>
      </c>
      <c r="E123" s="228">
        <v>0.01</v>
      </c>
    </row>
    <row r="124" spans="1:5" ht="25.5" customHeight="1" thickBot="1">
      <c r="A124" s="226">
        <v>73</v>
      </c>
      <c r="B124" s="227" t="s">
        <v>302</v>
      </c>
      <c r="C124" s="228">
        <v>0.009000000000000001</v>
      </c>
      <c r="D124" s="228">
        <v>0.008</v>
      </c>
      <c r="E124" s="228">
        <v>0.017</v>
      </c>
    </row>
    <row r="125" spans="1:5" ht="25.5" customHeight="1" thickBot="1">
      <c r="A125" s="229">
        <v>74</v>
      </c>
      <c r="B125" s="230" t="s">
        <v>303</v>
      </c>
      <c r="C125" s="228">
        <v>0.009000000000000001</v>
      </c>
      <c r="D125" s="228">
        <v>0.0085</v>
      </c>
      <c r="E125" s="228">
        <v>0.0175</v>
      </c>
    </row>
    <row r="126" spans="1:5" ht="25.5" customHeight="1" thickBot="1">
      <c r="A126" s="226">
        <v>742</v>
      </c>
      <c r="B126" s="227" t="s">
        <v>304</v>
      </c>
      <c r="C126" s="228">
        <v>0.005</v>
      </c>
      <c r="D126" s="228">
        <v>0.004</v>
      </c>
      <c r="E126" s="228">
        <v>0.009000000000000001</v>
      </c>
    </row>
    <row r="127" spans="1:5" ht="25.5" customHeight="1" thickBot="1">
      <c r="A127" s="226">
        <v>75</v>
      </c>
      <c r="B127" s="227" t="s">
        <v>305</v>
      </c>
      <c r="C127" s="228">
        <v>0.015</v>
      </c>
      <c r="D127" s="228">
        <v>0.011000000000000001</v>
      </c>
      <c r="E127" s="228">
        <v>0.026000000000000002</v>
      </c>
    </row>
    <row r="128" spans="1:5" ht="25.5" customHeight="1" thickBot="1">
      <c r="A128" s="226">
        <v>77</v>
      </c>
      <c r="B128" s="227" t="s">
        <v>306</v>
      </c>
      <c r="C128" s="228">
        <v>0.01</v>
      </c>
      <c r="D128" s="228">
        <v>0.01</v>
      </c>
      <c r="E128" s="228">
        <v>0.02</v>
      </c>
    </row>
    <row r="129" spans="1:5" ht="25.5" customHeight="1" thickBot="1">
      <c r="A129" s="226">
        <v>78</v>
      </c>
      <c r="B129" s="227" t="s">
        <v>307</v>
      </c>
      <c r="C129" s="228">
        <v>0.0155</v>
      </c>
      <c r="D129" s="228">
        <v>0.012</v>
      </c>
      <c r="E129" s="228">
        <v>0.0275</v>
      </c>
    </row>
    <row r="130" spans="1:5" ht="25.5" customHeight="1" thickBot="1">
      <c r="A130" s="226">
        <v>781</v>
      </c>
      <c r="B130" s="227" t="s">
        <v>308</v>
      </c>
      <c r="C130" s="228">
        <v>0.0095</v>
      </c>
      <c r="D130" s="228">
        <v>0.01</v>
      </c>
      <c r="E130" s="228">
        <v>0.0195</v>
      </c>
    </row>
    <row r="131" spans="1:5" ht="25.5" customHeight="1" thickBot="1">
      <c r="A131" s="226">
        <v>79</v>
      </c>
      <c r="B131" s="231" t="s">
        <v>309</v>
      </c>
      <c r="C131" s="228">
        <v>0.008</v>
      </c>
      <c r="D131" s="228">
        <v>0.006999999999999999</v>
      </c>
      <c r="E131" s="228">
        <v>0.015</v>
      </c>
    </row>
    <row r="132" spans="1:5" ht="25.5" customHeight="1" thickBot="1">
      <c r="A132" s="226">
        <v>80</v>
      </c>
      <c r="B132" s="227" t="s">
        <v>310</v>
      </c>
      <c r="C132" s="228">
        <v>0.013999999999999999</v>
      </c>
      <c r="D132" s="228">
        <v>0.022000000000000002</v>
      </c>
      <c r="E132" s="228">
        <v>0.036000000000000004</v>
      </c>
    </row>
    <row r="133" spans="1:5" ht="25.5" customHeight="1" thickBot="1">
      <c r="A133" s="229">
        <v>81</v>
      </c>
      <c r="B133" s="230" t="s">
        <v>311</v>
      </c>
      <c r="C133" s="228">
        <v>0.021</v>
      </c>
      <c r="D133" s="228">
        <v>0.015</v>
      </c>
      <c r="E133" s="228">
        <v>0.036000000000000004</v>
      </c>
    </row>
    <row r="134" spans="1:5" ht="25.5" customHeight="1" thickBot="1">
      <c r="A134" s="226">
        <v>811</v>
      </c>
      <c r="B134" s="227" t="s">
        <v>312</v>
      </c>
      <c r="C134" s="228">
        <v>0.01</v>
      </c>
      <c r="D134" s="228">
        <v>0.0085</v>
      </c>
      <c r="E134" s="228">
        <v>0.018500000000000003</v>
      </c>
    </row>
    <row r="135" spans="1:5" ht="25.5" customHeight="1" thickBot="1">
      <c r="A135" s="226">
        <v>82</v>
      </c>
      <c r="B135" s="227" t="s">
        <v>313</v>
      </c>
      <c r="C135" s="228">
        <v>0.01</v>
      </c>
      <c r="D135" s="228">
        <v>0.0105</v>
      </c>
      <c r="E135" s="228">
        <v>0.0205</v>
      </c>
    </row>
    <row r="136" spans="1:5" ht="25.5" customHeight="1" thickBot="1">
      <c r="A136" s="226">
        <v>8220</v>
      </c>
      <c r="B136" s="227" t="s">
        <v>314</v>
      </c>
      <c r="C136" s="228">
        <v>0.006999999999999999</v>
      </c>
      <c r="D136" s="228">
        <v>0.006999999999999999</v>
      </c>
      <c r="E136" s="228">
        <v>0.013999999999999999</v>
      </c>
    </row>
    <row r="137" spans="1:5" ht="25.5" customHeight="1" thickBot="1">
      <c r="A137" s="226">
        <v>8292</v>
      </c>
      <c r="B137" s="227" t="s">
        <v>315</v>
      </c>
      <c r="C137" s="228">
        <v>0.018000000000000002</v>
      </c>
      <c r="D137" s="228">
        <v>0.015</v>
      </c>
      <c r="E137" s="228">
        <v>0.033</v>
      </c>
    </row>
    <row r="138" spans="1:5" ht="25.5" customHeight="1" thickBot="1">
      <c r="A138" s="226">
        <v>84</v>
      </c>
      <c r="B138" s="227" t="s">
        <v>316</v>
      </c>
      <c r="C138" s="228">
        <v>0.006500000000000001</v>
      </c>
      <c r="D138" s="228">
        <v>0.01</v>
      </c>
      <c r="E138" s="228">
        <v>0.0165</v>
      </c>
    </row>
    <row r="139" spans="1:5" ht="25.5" customHeight="1" thickBot="1">
      <c r="A139" s="226">
        <v>842</v>
      </c>
      <c r="B139" s="227" t="s">
        <v>317</v>
      </c>
      <c r="C139" s="228">
        <v>0.013999999999999999</v>
      </c>
      <c r="D139" s="228">
        <v>0.022000000000000002</v>
      </c>
      <c r="E139" s="228">
        <v>0.036000000000000004</v>
      </c>
    </row>
    <row r="140" spans="1:5" ht="25.5" customHeight="1" thickBot="1">
      <c r="A140" s="226">
        <v>85</v>
      </c>
      <c r="B140" s="227" t="s">
        <v>318</v>
      </c>
      <c r="C140" s="228">
        <v>0.006500000000000001</v>
      </c>
      <c r="D140" s="228">
        <v>0.0034999999999999996</v>
      </c>
      <c r="E140" s="228">
        <v>0.01</v>
      </c>
    </row>
    <row r="141" spans="1:5" ht="25.5" customHeight="1" thickBot="1">
      <c r="A141" s="226">
        <v>86</v>
      </c>
      <c r="B141" s="227" t="s">
        <v>319</v>
      </c>
      <c r="C141" s="228">
        <v>0.008</v>
      </c>
      <c r="D141" s="228">
        <v>0.006999999999999999</v>
      </c>
      <c r="E141" s="228">
        <v>0.015</v>
      </c>
    </row>
    <row r="142" spans="1:5" ht="25.5" customHeight="1" thickBot="1">
      <c r="A142" s="226">
        <v>869</v>
      </c>
      <c r="B142" s="227" t="s">
        <v>320</v>
      </c>
      <c r="C142" s="228">
        <v>0.0095</v>
      </c>
      <c r="D142" s="228">
        <v>0.008</v>
      </c>
      <c r="E142" s="228">
        <v>0.0175</v>
      </c>
    </row>
    <row r="143" spans="1:5" ht="25.5" customHeight="1" thickBot="1">
      <c r="A143" s="226">
        <v>87</v>
      </c>
      <c r="B143" s="227" t="s">
        <v>321</v>
      </c>
      <c r="C143" s="228">
        <v>0.008</v>
      </c>
      <c r="D143" s="228">
        <v>0.006999999999999999</v>
      </c>
      <c r="E143" s="228">
        <v>0.015</v>
      </c>
    </row>
    <row r="144" spans="1:5" ht="25.5" customHeight="1" thickBot="1">
      <c r="A144" s="229">
        <v>88</v>
      </c>
      <c r="B144" s="230" t="s">
        <v>322</v>
      </c>
      <c r="C144" s="228">
        <v>0.008</v>
      </c>
      <c r="D144" s="228">
        <v>0.006999999999999999</v>
      </c>
      <c r="E144" s="228">
        <v>0.015</v>
      </c>
    </row>
    <row r="145" spans="1:5" ht="25.5" customHeight="1" thickBot="1">
      <c r="A145" s="226">
        <v>90</v>
      </c>
      <c r="B145" s="227" t="s">
        <v>323</v>
      </c>
      <c r="C145" s="228">
        <v>0.0075</v>
      </c>
      <c r="D145" s="228">
        <v>0.005</v>
      </c>
      <c r="E145" s="228">
        <v>0.0125</v>
      </c>
    </row>
    <row r="146" spans="1:5" ht="25.5" customHeight="1" thickBot="1">
      <c r="A146" s="226">
        <v>91</v>
      </c>
      <c r="B146" s="227" t="s">
        <v>324</v>
      </c>
      <c r="C146" s="228">
        <v>0.0075</v>
      </c>
      <c r="D146" s="228">
        <v>0.005</v>
      </c>
      <c r="E146" s="228">
        <v>0.0125</v>
      </c>
    </row>
    <row r="147" spans="1:5" ht="25.5" customHeight="1" thickBot="1">
      <c r="A147" s="229">
        <v>9104</v>
      </c>
      <c r="B147" s="230" t="s">
        <v>325</v>
      </c>
      <c r="C147" s="228">
        <v>0.0175</v>
      </c>
      <c r="D147" s="228">
        <v>0.012</v>
      </c>
      <c r="E147" s="228">
        <v>0.029500000000000002</v>
      </c>
    </row>
    <row r="148" spans="1:5" ht="25.5" customHeight="1" thickBot="1">
      <c r="A148" s="226">
        <v>92</v>
      </c>
      <c r="B148" s="227" t="s">
        <v>326</v>
      </c>
      <c r="C148" s="228">
        <v>0.0075</v>
      </c>
      <c r="D148" s="228">
        <v>0.005</v>
      </c>
      <c r="E148" s="228">
        <v>0.0125</v>
      </c>
    </row>
    <row r="149" spans="1:5" ht="25.5" customHeight="1" thickBot="1">
      <c r="A149" s="229">
        <v>93</v>
      </c>
      <c r="B149" s="230" t="s">
        <v>327</v>
      </c>
      <c r="C149" s="228">
        <v>0.017</v>
      </c>
      <c r="D149" s="228">
        <v>0.013000000000000001</v>
      </c>
      <c r="E149" s="228">
        <v>0.030000000000000002</v>
      </c>
    </row>
    <row r="150" spans="1:5" ht="25.5" customHeight="1" thickBot="1">
      <c r="A150" s="226" t="s">
        <v>328</v>
      </c>
      <c r="B150" s="227" t="s">
        <v>329</v>
      </c>
      <c r="C150" s="228">
        <v>0.0285</v>
      </c>
      <c r="D150" s="228">
        <v>0.0335</v>
      </c>
      <c r="E150" s="228">
        <v>0.062</v>
      </c>
    </row>
    <row r="151" spans="1:5" ht="25.5" customHeight="1" thickBot="1">
      <c r="A151" s="226">
        <v>94</v>
      </c>
      <c r="B151" s="227" t="s">
        <v>330</v>
      </c>
      <c r="C151" s="228">
        <v>0.006500000000000001</v>
      </c>
      <c r="D151" s="228">
        <v>0.01</v>
      </c>
      <c r="E151" s="228">
        <v>0.0165</v>
      </c>
    </row>
    <row r="152" spans="1:5" ht="25.5" customHeight="1" thickBot="1">
      <c r="A152" s="226">
        <v>95</v>
      </c>
      <c r="B152" s="227" t="s">
        <v>331</v>
      </c>
      <c r="C152" s="228">
        <v>0.015</v>
      </c>
      <c r="D152" s="228">
        <v>0.011000000000000001</v>
      </c>
      <c r="E152" s="228">
        <v>0.026000000000000002</v>
      </c>
    </row>
    <row r="153" spans="1:5" ht="25.5" customHeight="1" thickBot="1">
      <c r="A153" s="226">
        <v>9524</v>
      </c>
      <c r="B153" s="227" t="s">
        <v>332</v>
      </c>
      <c r="C153" s="228">
        <v>0.02</v>
      </c>
      <c r="D153" s="228">
        <v>0.018500000000000003</v>
      </c>
      <c r="E153" s="228">
        <v>0.038500000000000006</v>
      </c>
    </row>
    <row r="154" spans="1:5" ht="25.5" customHeight="1" thickBot="1">
      <c r="A154" s="226">
        <v>96</v>
      </c>
      <c r="B154" s="227" t="s">
        <v>333</v>
      </c>
      <c r="C154" s="228">
        <v>0.0085</v>
      </c>
      <c r="D154" s="228">
        <v>0.006999999999999999</v>
      </c>
      <c r="E154" s="228">
        <v>0.0155</v>
      </c>
    </row>
    <row r="155" spans="1:5" ht="25.5" customHeight="1" thickBot="1">
      <c r="A155" s="226">
        <v>9602</v>
      </c>
      <c r="B155" s="227" t="s">
        <v>334</v>
      </c>
      <c r="C155" s="228">
        <v>0.006500000000000001</v>
      </c>
      <c r="D155" s="228">
        <v>0.0045000000000000005</v>
      </c>
      <c r="E155" s="228">
        <v>0.011000000000000001</v>
      </c>
    </row>
    <row r="156" spans="1:5" ht="25.5" customHeight="1" thickBot="1">
      <c r="A156" s="226">
        <v>9603</v>
      </c>
      <c r="B156" s="227" t="s">
        <v>335</v>
      </c>
      <c r="C156" s="228">
        <v>0.018000000000000002</v>
      </c>
      <c r="D156" s="228">
        <v>0.015</v>
      </c>
      <c r="E156" s="228">
        <v>0.033</v>
      </c>
    </row>
    <row r="157" spans="1:5" ht="25.5" customHeight="1" thickBot="1">
      <c r="A157" s="226">
        <v>9609</v>
      </c>
      <c r="B157" s="227" t="s">
        <v>336</v>
      </c>
      <c r="C157" s="228">
        <v>0.015</v>
      </c>
      <c r="D157" s="228">
        <v>0.011000000000000001</v>
      </c>
      <c r="E157" s="228">
        <v>0.026000000000000002</v>
      </c>
    </row>
    <row r="158" spans="1:5" ht="25.5" customHeight="1" thickBot="1">
      <c r="A158" s="226">
        <v>97</v>
      </c>
      <c r="B158" s="227" t="s">
        <v>337</v>
      </c>
      <c r="C158" s="228">
        <v>0.006500000000000001</v>
      </c>
      <c r="D158" s="228">
        <v>0.0045000000000000005</v>
      </c>
      <c r="E158" s="228">
        <v>0.011000000000000001</v>
      </c>
    </row>
    <row r="159" spans="1:5" ht="25.5" customHeight="1" thickBot="1">
      <c r="A159" s="226">
        <v>99</v>
      </c>
      <c r="B159" s="227" t="s">
        <v>338</v>
      </c>
      <c r="C159" s="228">
        <v>0.012</v>
      </c>
      <c r="D159" s="228">
        <v>0.0115</v>
      </c>
      <c r="E159" s="228">
        <v>0.0235</v>
      </c>
    </row>
    <row r="160" spans="1:5" ht="25.5" customHeight="1" thickBot="1">
      <c r="A160" s="226" t="s">
        <v>5</v>
      </c>
      <c r="B160" s="227" t="s">
        <v>339</v>
      </c>
      <c r="C160" s="228">
        <v>0.006500000000000001</v>
      </c>
      <c r="D160" s="228">
        <v>0.0034999999999999996</v>
      </c>
      <c r="E160" s="228">
        <v>0.01</v>
      </c>
    </row>
    <row r="161" spans="1:5" ht="25.5" customHeight="1" thickBot="1">
      <c r="A161" s="226" t="s">
        <v>340</v>
      </c>
      <c r="B161" s="227" t="s">
        <v>341</v>
      </c>
      <c r="C161" s="228">
        <v>0.01</v>
      </c>
      <c r="D161" s="228">
        <v>0.01</v>
      </c>
      <c r="E161" s="228">
        <v>0.02</v>
      </c>
    </row>
    <row r="162" spans="1:5" ht="25.5" customHeight="1" thickBot="1">
      <c r="A162" s="226" t="s">
        <v>342</v>
      </c>
      <c r="B162" s="227" t="s">
        <v>343</v>
      </c>
      <c r="C162" s="228">
        <v>0.0335</v>
      </c>
      <c r="D162" s="228">
        <v>0.0335</v>
      </c>
      <c r="E162" s="228">
        <v>0.067</v>
      </c>
    </row>
    <row r="163" spans="1:5" ht="25.5" customHeight="1" thickBot="1">
      <c r="A163" s="229" t="s">
        <v>344</v>
      </c>
      <c r="B163" s="230" t="s">
        <v>345</v>
      </c>
      <c r="C163" s="228">
        <v>0.0335</v>
      </c>
      <c r="D163" s="228">
        <v>0.0335</v>
      </c>
      <c r="E163" s="228">
        <v>0.067</v>
      </c>
    </row>
    <row r="164" spans="1:5" ht="25.5" customHeight="1" thickBot="1">
      <c r="A164" s="226" t="s">
        <v>346</v>
      </c>
      <c r="B164" s="227" t="s">
        <v>347</v>
      </c>
      <c r="C164" s="228">
        <v>0.021</v>
      </c>
      <c r="D164" s="228">
        <v>0.015</v>
      </c>
      <c r="E164" s="228">
        <v>0.036000000000000004</v>
      </c>
    </row>
    <row r="165" spans="1:5" ht="25.5" customHeight="1" thickBot="1">
      <c r="A165" s="226" t="s">
        <v>348</v>
      </c>
      <c r="B165" s="227" t="s">
        <v>349</v>
      </c>
      <c r="C165" s="228">
        <v>0.013999999999999999</v>
      </c>
      <c r="D165" s="228">
        <v>0.022000000000000002</v>
      </c>
      <c r="E165" s="228">
        <v>0.036000000000000004</v>
      </c>
    </row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</sheetData>
  <sheetProtection/>
  <mergeCells count="4">
    <mergeCell ref="A1:A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4:E40"/>
  <sheetViews>
    <sheetView zoomScalePageLayoutView="0" workbookViewId="0" topLeftCell="A1">
      <selection activeCell="B14" sqref="B14"/>
    </sheetView>
  </sheetViews>
  <sheetFormatPr defaultColWidth="11.421875" defaultRowHeight="12.75"/>
  <cols>
    <col min="2" max="2" width="32.28125" style="0" customWidth="1"/>
    <col min="3" max="5" width="11.421875" style="2" customWidth="1"/>
  </cols>
  <sheetData>
    <row r="4" spans="1:5" ht="12.75">
      <c r="A4">
        <v>100</v>
      </c>
      <c r="B4" t="s">
        <v>350</v>
      </c>
      <c r="C4" s="2">
        <v>0.055</v>
      </c>
      <c r="D4" s="2">
        <v>0.0155</v>
      </c>
      <c r="E4" s="2">
        <f>C4+D4</f>
        <v>0.07050000000000001</v>
      </c>
    </row>
    <row r="5" spans="1:5" ht="12.75">
      <c r="A5">
        <v>200</v>
      </c>
      <c r="B5" t="s">
        <v>351</v>
      </c>
      <c r="C5" s="2">
        <v>0.055</v>
      </c>
      <c r="D5" s="2">
        <v>0.0155</v>
      </c>
      <c r="E5" s="2">
        <f aca="true" t="shared" si="0" ref="E5:E40">C5+D5</f>
        <v>0.07050000000000001</v>
      </c>
    </row>
    <row r="6" spans="1:5" ht="12.75">
      <c r="A6">
        <v>300</v>
      </c>
      <c r="B6" t="s">
        <v>352</v>
      </c>
      <c r="C6" s="2">
        <v>0.055</v>
      </c>
      <c r="D6" s="2">
        <v>0.0155</v>
      </c>
      <c r="E6" s="2">
        <f t="shared" si="0"/>
        <v>0.07050000000000001</v>
      </c>
    </row>
    <row r="7" spans="1:5" ht="12.75">
      <c r="A7">
        <v>402</v>
      </c>
      <c r="B7" s="233" t="s">
        <v>353</v>
      </c>
      <c r="C7" s="2">
        <v>0.067</v>
      </c>
      <c r="D7" s="2">
        <v>0.016</v>
      </c>
      <c r="E7" s="2">
        <f t="shared" si="0"/>
        <v>0.083</v>
      </c>
    </row>
    <row r="8" ht="12.75">
      <c r="E8" s="2">
        <f t="shared" si="0"/>
        <v>0</v>
      </c>
    </row>
    <row r="9" ht="12.75">
      <c r="E9" s="2">
        <f t="shared" si="0"/>
        <v>0</v>
      </c>
    </row>
    <row r="10" ht="12.75">
      <c r="E10" s="2">
        <f t="shared" si="0"/>
        <v>0</v>
      </c>
    </row>
    <row r="11" ht="12.75">
      <c r="E11" s="2">
        <f t="shared" si="0"/>
        <v>0</v>
      </c>
    </row>
    <row r="12" ht="12.75">
      <c r="E12" s="2">
        <f t="shared" si="0"/>
        <v>0</v>
      </c>
    </row>
    <row r="13" ht="12.75">
      <c r="E13" s="2">
        <f t="shared" si="0"/>
        <v>0</v>
      </c>
    </row>
    <row r="14" ht="12.75">
      <c r="E14" s="2">
        <f t="shared" si="0"/>
        <v>0</v>
      </c>
    </row>
    <row r="15" ht="12.75">
      <c r="E15" s="2">
        <f t="shared" si="0"/>
        <v>0</v>
      </c>
    </row>
    <row r="16" ht="12.75">
      <c r="E16" s="2">
        <f t="shared" si="0"/>
        <v>0</v>
      </c>
    </row>
    <row r="17" ht="12.75">
      <c r="E17" s="2">
        <f t="shared" si="0"/>
        <v>0</v>
      </c>
    </row>
    <row r="18" ht="12.75">
      <c r="E18" s="2">
        <f t="shared" si="0"/>
        <v>0</v>
      </c>
    </row>
    <row r="19" ht="12.75">
      <c r="E19" s="2">
        <f t="shared" si="0"/>
        <v>0</v>
      </c>
    </row>
    <row r="20" ht="12.75">
      <c r="E20" s="2">
        <f t="shared" si="0"/>
        <v>0</v>
      </c>
    </row>
    <row r="21" ht="12.75">
      <c r="E21" s="2">
        <f t="shared" si="0"/>
        <v>0</v>
      </c>
    </row>
    <row r="22" ht="12.75">
      <c r="E22" s="2">
        <f t="shared" si="0"/>
        <v>0</v>
      </c>
    </row>
    <row r="23" ht="12.75">
      <c r="E23" s="2">
        <f t="shared" si="0"/>
        <v>0</v>
      </c>
    </row>
    <row r="24" ht="12.75">
      <c r="E24" s="2">
        <f t="shared" si="0"/>
        <v>0</v>
      </c>
    </row>
    <row r="25" ht="12.75">
      <c r="E25" s="2">
        <f t="shared" si="0"/>
        <v>0</v>
      </c>
    </row>
    <row r="26" ht="12.75">
      <c r="E26" s="2">
        <f t="shared" si="0"/>
        <v>0</v>
      </c>
    </row>
    <row r="27" ht="12.75">
      <c r="E27" s="2">
        <f t="shared" si="0"/>
        <v>0</v>
      </c>
    </row>
    <row r="28" ht="12.75">
      <c r="E28" s="2">
        <f t="shared" si="0"/>
        <v>0</v>
      </c>
    </row>
    <row r="29" ht="12.75">
      <c r="E29" s="2">
        <f t="shared" si="0"/>
        <v>0</v>
      </c>
    </row>
    <row r="30" ht="12.75">
      <c r="E30" s="2">
        <f t="shared" si="0"/>
        <v>0</v>
      </c>
    </row>
    <row r="31" ht="12.75">
      <c r="E31" s="2">
        <f t="shared" si="0"/>
        <v>0</v>
      </c>
    </row>
    <row r="32" ht="12.75">
      <c r="E32" s="2">
        <f t="shared" si="0"/>
        <v>0</v>
      </c>
    </row>
    <row r="33" ht="12.75">
      <c r="E33" s="2">
        <f t="shared" si="0"/>
        <v>0</v>
      </c>
    </row>
    <row r="34" ht="12.75">
      <c r="E34" s="2">
        <f t="shared" si="0"/>
        <v>0</v>
      </c>
    </row>
    <row r="35" ht="12.75">
      <c r="E35" s="2">
        <f t="shared" si="0"/>
        <v>0</v>
      </c>
    </row>
    <row r="36" ht="12.75">
      <c r="E36" s="2">
        <f t="shared" si="0"/>
        <v>0</v>
      </c>
    </row>
    <row r="37" ht="12.75">
      <c r="E37" s="2">
        <f t="shared" si="0"/>
        <v>0</v>
      </c>
    </row>
    <row r="38" ht="12.75">
      <c r="E38" s="2">
        <f t="shared" si="0"/>
        <v>0</v>
      </c>
    </row>
    <row r="39" ht="12.75">
      <c r="E39" s="2">
        <f t="shared" si="0"/>
        <v>0</v>
      </c>
    </row>
    <row r="40" ht="12.75">
      <c r="E40" s="2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0"/>
  <sheetViews>
    <sheetView zoomScale="140" zoomScaleNormal="140" zoomScalePageLayoutView="0" workbookViewId="0" topLeftCell="A31">
      <selection activeCell="K23" sqref="K23:P27"/>
    </sheetView>
  </sheetViews>
  <sheetFormatPr defaultColWidth="11.421875" defaultRowHeight="12.75"/>
  <cols>
    <col min="1" max="1" width="3.57421875" style="0" customWidth="1"/>
    <col min="2" max="2" width="3.8515625" style="0" customWidth="1"/>
    <col min="3" max="5" width="2.7109375" style="0" customWidth="1"/>
    <col min="6" max="6" width="3.8515625" style="0" customWidth="1"/>
    <col min="7" max="11" width="2.7109375" style="0" customWidth="1"/>
    <col min="12" max="12" width="4.8515625" style="0" customWidth="1"/>
    <col min="14" max="18" width="2.7109375" style="0" customWidth="1"/>
    <col min="19" max="19" width="5.140625" style="0" customWidth="1"/>
    <col min="20" max="37" width="2.7109375" style="0" customWidth="1"/>
    <col min="38" max="38" width="9.57421875" style="0" customWidth="1"/>
  </cols>
  <sheetData>
    <row r="1" spans="4:36" ht="23.25">
      <c r="D1" s="268" t="s">
        <v>390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</row>
    <row r="3" spans="6:32" ht="18">
      <c r="F3" s="270" t="s">
        <v>391</v>
      </c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1"/>
      <c r="Y3" s="271"/>
      <c r="Z3" s="271"/>
      <c r="AA3" s="271"/>
      <c r="AB3" s="271"/>
      <c r="AC3" s="271"/>
      <c r="AD3" s="271"/>
      <c r="AE3" s="271"/>
      <c r="AF3" s="271"/>
    </row>
    <row r="4" spans="7:32" ht="18">
      <c r="G4" s="272" t="s">
        <v>392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3"/>
      <c r="Z4" s="273"/>
      <c r="AA4" s="273"/>
      <c r="AB4" s="273"/>
      <c r="AC4" s="273"/>
      <c r="AD4" s="273"/>
      <c r="AE4" s="273"/>
      <c r="AF4" s="271"/>
    </row>
    <row r="6" spans="2:9" ht="13.5" thickBot="1">
      <c r="B6">
        <v>3</v>
      </c>
      <c r="I6" t="s">
        <v>463</v>
      </c>
    </row>
    <row r="7" spans="2:38" ht="12.75">
      <c r="B7" s="274" t="s">
        <v>393</v>
      </c>
      <c r="C7" s="275"/>
      <c r="D7" s="275"/>
      <c r="E7" s="275"/>
      <c r="F7" s="275"/>
      <c r="G7" s="276"/>
      <c r="H7" s="277"/>
      <c r="I7" s="244"/>
      <c r="J7" s="244"/>
      <c r="K7" s="244"/>
      <c r="L7" s="244"/>
      <c r="M7" s="244"/>
      <c r="N7" s="278"/>
      <c r="O7" s="277"/>
      <c r="P7" s="240" t="s">
        <v>369</v>
      </c>
      <c r="Q7" s="240"/>
      <c r="R7" s="240"/>
      <c r="S7" s="240"/>
      <c r="T7" s="240"/>
      <c r="U7" s="240"/>
      <c r="V7" s="240"/>
      <c r="W7" s="240"/>
      <c r="X7" s="244"/>
      <c r="Y7" s="278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5"/>
    </row>
    <row r="8" spans="2:38" ht="12.75">
      <c r="B8" s="279" t="s">
        <v>394</v>
      </c>
      <c r="C8" s="280"/>
      <c r="D8" s="280"/>
      <c r="E8" s="280"/>
      <c r="F8" s="280"/>
      <c r="G8" s="281"/>
      <c r="H8" s="262" t="s">
        <v>395</v>
      </c>
      <c r="I8" s="260"/>
      <c r="J8" s="260"/>
      <c r="K8" s="260"/>
      <c r="L8" s="260"/>
      <c r="M8" s="260"/>
      <c r="N8" s="261"/>
      <c r="O8" s="282"/>
      <c r="P8" s="260" t="s">
        <v>396</v>
      </c>
      <c r="Q8" s="260"/>
      <c r="R8" s="260"/>
      <c r="S8" s="260"/>
      <c r="T8" s="260"/>
      <c r="U8" s="260"/>
      <c r="V8" s="260"/>
      <c r="W8" s="260"/>
      <c r="X8" s="283"/>
      <c r="Y8" s="284"/>
      <c r="Z8" s="283"/>
      <c r="AA8" s="260" t="s">
        <v>397</v>
      </c>
      <c r="AB8" s="260"/>
      <c r="AC8" s="260"/>
      <c r="AD8" s="260"/>
      <c r="AE8" s="260"/>
      <c r="AF8" s="260"/>
      <c r="AG8" s="260"/>
      <c r="AH8" s="260"/>
      <c r="AI8" s="260"/>
      <c r="AJ8" s="260"/>
      <c r="AK8" s="283"/>
      <c r="AL8" s="285"/>
    </row>
    <row r="9" spans="2:38" ht="13.5" thickBot="1">
      <c r="B9" s="286" t="s">
        <v>84</v>
      </c>
      <c r="C9" s="287"/>
      <c r="D9" s="287"/>
      <c r="E9" s="287"/>
      <c r="F9" s="287"/>
      <c r="G9" s="288"/>
      <c r="H9" s="264"/>
      <c r="I9" s="251"/>
      <c r="J9" s="251"/>
      <c r="K9" s="251"/>
      <c r="L9" s="251"/>
      <c r="M9" s="251"/>
      <c r="N9" s="265"/>
      <c r="O9" s="264"/>
      <c r="P9" s="247" t="s">
        <v>398</v>
      </c>
      <c r="Q9" s="247"/>
      <c r="R9" s="247"/>
      <c r="S9" s="247"/>
      <c r="T9" s="247"/>
      <c r="U9" s="247"/>
      <c r="V9" s="247"/>
      <c r="W9" s="247"/>
      <c r="X9" s="251"/>
      <c r="Y9" s="265"/>
      <c r="Z9" s="251"/>
      <c r="AA9" s="247"/>
      <c r="AB9" s="247"/>
      <c r="AC9" s="247" t="s">
        <v>85</v>
      </c>
      <c r="AD9" s="247"/>
      <c r="AE9" s="247"/>
      <c r="AF9" s="247"/>
      <c r="AG9" s="247"/>
      <c r="AH9" s="247"/>
      <c r="AI9" s="247"/>
      <c r="AJ9" s="247"/>
      <c r="AK9" s="251"/>
      <c r="AL9" s="252"/>
    </row>
    <row r="10" spans="2:38" ht="12.75" customHeight="1">
      <c r="B10" s="663">
        <f>A55+A54</f>
        <v>15</v>
      </c>
      <c r="C10" s="664"/>
      <c r="D10" s="664"/>
      <c r="E10" s="664"/>
      <c r="F10" s="664"/>
      <c r="G10" s="665"/>
      <c r="H10" s="607" t="str">
        <f>A55</f>
        <v>12</v>
      </c>
      <c r="I10" s="608"/>
      <c r="J10" s="608"/>
      <c r="K10" s="608"/>
      <c r="L10" s="608"/>
      <c r="M10" s="608"/>
      <c r="N10" s="609"/>
      <c r="O10" s="672">
        <f>(O42*60)/100</f>
        <v>39.268800000000006</v>
      </c>
      <c r="P10" s="673"/>
      <c r="Q10" s="673"/>
      <c r="R10" s="673"/>
      <c r="S10" s="673"/>
      <c r="T10" s="673"/>
      <c r="U10" s="673"/>
      <c r="V10" s="673"/>
      <c r="W10" s="673"/>
      <c r="X10" s="673"/>
      <c r="Y10" s="674"/>
      <c r="Z10" s="672">
        <f>H10*O10</f>
        <v>471.2256000000001</v>
      </c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81"/>
    </row>
    <row r="11" spans="2:38" ht="12.75" customHeight="1">
      <c r="B11" s="666"/>
      <c r="C11" s="667"/>
      <c r="D11" s="667"/>
      <c r="E11" s="667"/>
      <c r="F11" s="667"/>
      <c r="G11" s="668"/>
      <c r="H11" s="601"/>
      <c r="I11" s="602"/>
      <c r="J11" s="602"/>
      <c r="K11" s="602"/>
      <c r="L11" s="602"/>
      <c r="M11" s="602"/>
      <c r="N11" s="603"/>
      <c r="O11" s="675"/>
      <c r="P11" s="676"/>
      <c r="Q11" s="676"/>
      <c r="R11" s="676"/>
      <c r="S11" s="676"/>
      <c r="T11" s="676"/>
      <c r="U11" s="676"/>
      <c r="V11" s="676"/>
      <c r="W11" s="676"/>
      <c r="X11" s="676"/>
      <c r="Y11" s="677"/>
      <c r="Z11" s="675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6"/>
      <c r="AL11" s="682"/>
    </row>
    <row r="12" spans="2:38" ht="12.75" customHeight="1">
      <c r="B12" s="666"/>
      <c r="C12" s="667"/>
      <c r="D12" s="667"/>
      <c r="E12" s="667"/>
      <c r="F12" s="667"/>
      <c r="G12" s="668"/>
      <c r="H12" s="601"/>
      <c r="I12" s="602"/>
      <c r="J12" s="602"/>
      <c r="K12" s="602"/>
      <c r="L12" s="602"/>
      <c r="M12" s="602"/>
      <c r="N12" s="603"/>
      <c r="O12" s="675"/>
      <c r="P12" s="676"/>
      <c r="Q12" s="676"/>
      <c r="R12" s="676"/>
      <c r="S12" s="676"/>
      <c r="T12" s="676"/>
      <c r="U12" s="676"/>
      <c r="V12" s="676"/>
      <c r="W12" s="676"/>
      <c r="X12" s="676"/>
      <c r="Y12" s="677"/>
      <c r="Z12" s="675"/>
      <c r="AA12" s="676"/>
      <c r="AB12" s="676"/>
      <c r="AC12" s="676"/>
      <c r="AD12" s="676"/>
      <c r="AE12" s="676"/>
      <c r="AF12" s="676"/>
      <c r="AG12" s="676"/>
      <c r="AH12" s="676"/>
      <c r="AI12" s="676"/>
      <c r="AJ12" s="676"/>
      <c r="AK12" s="676"/>
      <c r="AL12" s="682"/>
    </row>
    <row r="13" spans="2:38" ht="12.75" customHeight="1">
      <c r="B13" s="666"/>
      <c r="C13" s="667"/>
      <c r="D13" s="667"/>
      <c r="E13" s="667"/>
      <c r="F13" s="667"/>
      <c r="G13" s="668"/>
      <c r="H13" s="601"/>
      <c r="I13" s="602"/>
      <c r="J13" s="602"/>
      <c r="K13" s="602"/>
      <c r="L13" s="602"/>
      <c r="M13" s="602"/>
      <c r="N13" s="603"/>
      <c r="O13" s="675"/>
      <c r="P13" s="676"/>
      <c r="Q13" s="676"/>
      <c r="R13" s="676"/>
      <c r="S13" s="676"/>
      <c r="T13" s="676"/>
      <c r="U13" s="676"/>
      <c r="V13" s="676"/>
      <c r="W13" s="676"/>
      <c r="X13" s="676"/>
      <c r="Y13" s="677"/>
      <c r="Z13" s="675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676"/>
      <c r="AL13" s="682"/>
    </row>
    <row r="14" spans="2:38" ht="12.75" customHeight="1">
      <c r="B14" s="666"/>
      <c r="C14" s="667"/>
      <c r="D14" s="667"/>
      <c r="E14" s="667"/>
      <c r="F14" s="667"/>
      <c r="G14" s="668"/>
      <c r="H14" s="601"/>
      <c r="I14" s="602"/>
      <c r="J14" s="602"/>
      <c r="K14" s="602"/>
      <c r="L14" s="602"/>
      <c r="M14" s="602"/>
      <c r="N14" s="603"/>
      <c r="O14" s="675"/>
      <c r="P14" s="676"/>
      <c r="Q14" s="676"/>
      <c r="R14" s="676"/>
      <c r="S14" s="676"/>
      <c r="T14" s="676"/>
      <c r="U14" s="676"/>
      <c r="V14" s="676"/>
      <c r="W14" s="676"/>
      <c r="X14" s="676"/>
      <c r="Y14" s="677"/>
      <c r="Z14" s="675"/>
      <c r="AA14" s="676"/>
      <c r="AB14" s="676"/>
      <c r="AC14" s="676"/>
      <c r="AD14" s="676"/>
      <c r="AE14" s="676"/>
      <c r="AF14" s="676"/>
      <c r="AG14" s="676"/>
      <c r="AH14" s="676"/>
      <c r="AI14" s="676"/>
      <c r="AJ14" s="676"/>
      <c r="AK14" s="676"/>
      <c r="AL14" s="682"/>
    </row>
    <row r="15" spans="2:38" ht="12.75" customHeight="1">
      <c r="B15" s="666"/>
      <c r="C15" s="667"/>
      <c r="D15" s="667"/>
      <c r="E15" s="667"/>
      <c r="F15" s="667"/>
      <c r="G15" s="668"/>
      <c r="H15" s="601"/>
      <c r="I15" s="602"/>
      <c r="J15" s="602"/>
      <c r="K15" s="602"/>
      <c r="L15" s="602"/>
      <c r="M15" s="602"/>
      <c r="N15" s="603"/>
      <c r="O15" s="675"/>
      <c r="P15" s="676"/>
      <c r="Q15" s="676"/>
      <c r="R15" s="676"/>
      <c r="S15" s="676"/>
      <c r="T15" s="676"/>
      <c r="U15" s="676"/>
      <c r="V15" s="676"/>
      <c r="W15" s="676"/>
      <c r="X15" s="676"/>
      <c r="Y15" s="677"/>
      <c r="Z15" s="675"/>
      <c r="AA15" s="676"/>
      <c r="AB15" s="676"/>
      <c r="AC15" s="676"/>
      <c r="AD15" s="676"/>
      <c r="AE15" s="676"/>
      <c r="AF15" s="676"/>
      <c r="AG15" s="676"/>
      <c r="AH15" s="676"/>
      <c r="AI15" s="676"/>
      <c r="AJ15" s="676"/>
      <c r="AK15" s="676"/>
      <c r="AL15" s="682"/>
    </row>
    <row r="16" spans="2:38" ht="13.5" customHeight="1" thickBot="1">
      <c r="B16" s="669"/>
      <c r="C16" s="670"/>
      <c r="D16" s="670"/>
      <c r="E16" s="670"/>
      <c r="F16" s="670"/>
      <c r="G16" s="671"/>
      <c r="H16" s="628"/>
      <c r="I16" s="629"/>
      <c r="J16" s="629"/>
      <c r="K16" s="629"/>
      <c r="L16" s="629"/>
      <c r="M16" s="629"/>
      <c r="N16" s="630"/>
      <c r="O16" s="678"/>
      <c r="P16" s="679"/>
      <c r="Q16" s="679"/>
      <c r="R16" s="679"/>
      <c r="S16" s="679"/>
      <c r="T16" s="679"/>
      <c r="U16" s="679"/>
      <c r="V16" s="679"/>
      <c r="W16" s="679"/>
      <c r="X16" s="679"/>
      <c r="Y16" s="680"/>
      <c r="Z16" s="678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83"/>
    </row>
    <row r="17" spans="9:38" ht="12.75">
      <c r="I17" t="s">
        <v>464</v>
      </c>
      <c r="AL17" s="294"/>
    </row>
    <row r="18" spans="3:28" ht="15">
      <c r="C18" s="289" t="s">
        <v>399</v>
      </c>
      <c r="D18" s="289"/>
      <c r="E18" s="289"/>
      <c r="F18" s="289"/>
      <c r="G18" s="289"/>
      <c r="H18" s="289"/>
      <c r="I18" s="289"/>
      <c r="J18" s="289"/>
      <c r="K18" s="289"/>
      <c r="T18" s="267" t="s">
        <v>399</v>
      </c>
      <c r="U18" s="267"/>
      <c r="V18" s="267"/>
      <c r="W18" s="267"/>
      <c r="X18" s="267"/>
      <c r="Y18" s="267"/>
      <c r="Z18" s="267"/>
      <c r="AA18" s="267"/>
      <c r="AB18" s="267"/>
    </row>
    <row r="19" spans="2:18" ht="13.5" thickBot="1">
      <c r="B19">
        <v>4</v>
      </c>
      <c r="R19">
        <v>5</v>
      </c>
    </row>
    <row r="20" spans="2:38" ht="12.75">
      <c r="B20" s="239" t="s">
        <v>357</v>
      </c>
      <c r="C20" s="240"/>
      <c r="D20" s="241"/>
      <c r="E20" s="240" t="s">
        <v>358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2"/>
      <c r="R20" s="243"/>
      <c r="S20" s="244"/>
      <c r="T20" s="244"/>
      <c r="U20" s="240" t="s">
        <v>359</v>
      </c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4"/>
      <c r="AH20" s="244"/>
      <c r="AI20" s="244"/>
      <c r="AJ20" s="244"/>
      <c r="AK20" s="244"/>
      <c r="AL20" s="245"/>
    </row>
    <row r="21" spans="2:38" ht="13.5" thickBot="1">
      <c r="B21" s="246" t="s">
        <v>360</v>
      </c>
      <c r="C21" s="247"/>
      <c r="D21" s="248"/>
      <c r="E21" s="247"/>
      <c r="F21" s="247" t="s">
        <v>361</v>
      </c>
      <c r="G21" s="247"/>
      <c r="H21" s="247"/>
      <c r="I21" s="247"/>
      <c r="J21" s="247"/>
      <c r="K21" s="247"/>
      <c r="L21" s="247"/>
      <c r="M21" s="247"/>
      <c r="N21" s="247"/>
      <c r="O21" s="247"/>
      <c r="P21" s="249"/>
      <c r="R21" s="250"/>
      <c r="S21" s="251"/>
      <c r="T21" s="251"/>
      <c r="U21" s="247" t="s">
        <v>362</v>
      </c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51"/>
      <c r="AH21" s="251"/>
      <c r="AI21" s="251"/>
      <c r="AJ21" s="251"/>
      <c r="AK21" s="251"/>
      <c r="AL21" s="252"/>
    </row>
    <row r="22" spans="2:38" ht="12.75">
      <c r="B22" s="661">
        <f>A56+A57</f>
        <v>10</v>
      </c>
      <c r="C22" s="608"/>
      <c r="D22" s="609"/>
      <c r="E22" s="253"/>
      <c r="F22" s="254" t="s">
        <v>364</v>
      </c>
      <c r="G22" s="254"/>
      <c r="H22" s="254"/>
      <c r="I22" s="255"/>
      <c r="J22" s="256"/>
      <c r="K22" s="253"/>
      <c r="L22" s="254" t="s">
        <v>365</v>
      </c>
      <c r="M22" s="254"/>
      <c r="N22" s="254"/>
      <c r="O22" s="255"/>
      <c r="P22" s="257"/>
      <c r="R22" s="239"/>
      <c r="S22" s="240"/>
      <c r="T22" s="240"/>
      <c r="U22" s="240"/>
      <c r="V22" s="241"/>
      <c r="W22" s="258"/>
      <c r="X22" s="240"/>
      <c r="Y22" s="240"/>
      <c r="Z22" s="240"/>
      <c r="AA22" s="240"/>
      <c r="AB22" s="240"/>
      <c r="AC22" s="241"/>
      <c r="AD22" s="258"/>
      <c r="AE22" s="240"/>
      <c r="AF22" s="240"/>
      <c r="AG22" s="241"/>
      <c r="AH22" s="240"/>
      <c r="AI22" s="240"/>
      <c r="AJ22" s="240"/>
      <c r="AK22" s="240"/>
      <c r="AL22" s="242"/>
    </row>
    <row r="23" spans="2:38" ht="12.75">
      <c r="B23" s="647"/>
      <c r="C23" s="602"/>
      <c r="D23" s="603"/>
      <c r="E23" s="598" t="str">
        <f>A56</f>
        <v>5</v>
      </c>
      <c r="F23" s="599"/>
      <c r="G23" s="599"/>
      <c r="H23" s="599"/>
      <c r="I23" s="599"/>
      <c r="J23" s="600"/>
      <c r="K23" s="598">
        <f>A57</f>
        <v>5</v>
      </c>
      <c r="L23" s="599"/>
      <c r="M23" s="599"/>
      <c r="N23" s="599"/>
      <c r="O23" s="599"/>
      <c r="P23" s="684"/>
      <c r="R23" s="259" t="s">
        <v>366</v>
      </c>
      <c r="S23" s="260"/>
      <c r="T23" s="260"/>
      <c r="U23" s="260"/>
      <c r="V23" s="261"/>
      <c r="W23" s="262"/>
      <c r="X23" s="260" t="s">
        <v>366</v>
      </c>
      <c r="Y23" s="260"/>
      <c r="Z23" s="260"/>
      <c r="AA23" s="260"/>
      <c r="AB23" s="260"/>
      <c r="AC23" s="261"/>
      <c r="AD23" s="262"/>
      <c r="AE23" s="260"/>
      <c r="AF23" s="260"/>
      <c r="AG23" s="261"/>
      <c r="AH23" s="260" t="s">
        <v>367</v>
      </c>
      <c r="AI23" s="260"/>
      <c r="AJ23" s="260"/>
      <c r="AK23" s="260"/>
      <c r="AL23" s="263"/>
    </row>
    <row r="24" spans="2:38" ht="13.5" thickBot="1">
      <c r="B24" s="647"/>
      <c r="C24" s="602"/>
      <c r="D24" s="603"/>
      <c r="E24" s="601"/>
      <c r="F24" s="602"/>
      <c r="G24" s="602"/>
      <c r="H24" s="602"/>
      <c r="I24" s="602"/>
      <c r="J24" s="603"/>
      <c r="K24" s="601"/>
      <c r="L24" s="602"/>
      <c r="M24" s="602"/>
      <c r="N24" s="602"/>
      <c r="O24" s="602"/>
      <c r="P24" s="685"/>
      <c r="R24" s="246" t="s">
        <v>368</v>
      </c>
      <c r="S24" s="247"/>
      <c r="T24" s="247"/>
      <c r="U24" s="247"/>
      <c r="V24" s="248"/>
      <c r="W24" s="264"/>
      <c r="X24" s="247" t="s">
        <v>369</v>
      </c>
      <c r="Y24" s="247"/>
      <c r="Z24" s="247"/>
      <c r="AA24" s="247"/>
      <c r="AB24" s="247"/>
      <c r="AC24" s="248"/>
      <c r="AD24" s="264"/>
      <c r="AE24" s="247" t="s">
        <v>370</v>
      </c>
      <c r="AF24" s="251"/>
      <c r="AG24" s="265"/>
      <c r="AH24" s="247" t="s">
        <v>371</v>
      </c>
      <c r="AI24" s="247"/>
      <c r="AJ24" s="247"/>
      <c r="AK24" s="247"/>
      <c r="AL24" s="249"/>
    </row>
    <row r="25" spans="2:38" ht="12.75">
      <c r="B25" s="647"/>
      <c r="C25" s="602"/>
      <c r="D25" s="603"/>
      <c r="E25" s="601"/>
      <c r="F25" s="602"/>
      <c r="G25" s="602"/>
      <c r="H25" s="602"/>
      <c r="I25" s="602"/>
      <c r="J25" s="603"/>
      <c r="K25" s="601"/>
      <c r="L25" s="602"/>
      <c r="M25" s="602"/>
      <c r="N25" s="602"/>
      <c r="O25" s="602"/>
      <c r="P25" s="685"/>
      <c r="R25" s="687">
        <f>O42</f>
        <v>65.44800000000001</v>
      </c>
      <c r="S25" s="608"/>
      <c r="T25" s="608"/>
      <c r="U25" s="608"/>
      <c r="V25" s="609"/>
      <c r="W25" s="688">
        <v>0.6</v>
      </c>
      <c r="X25" s="689"/>
      <c r="Y25" s="690"/>
      <c r="Z25" s="637">
        <f>R25*W25</f>
        <v>39.268800000000006</v>
      </c>
      <c r="AA25" s="638"/>
      <c r="AB25" s="638"/>
      <c r="AC25" s="639"/>
      <c r="AD25" s="607" t="str">
        <f>A56</f>
        <v>5</v>
      </c>
      <c r="AE25" s="608"/>
      <c r="AF25" s="608"/>
      <c r="AG25" s="609"/>
      <c r="AH25" s="610">
        <f>Z25*AD25</f>
        <v>196.34400000000002</v>
      </c>
      <c r="AI25" s="611"/>
      <c r="AJ25" s="611"/>
      <c r="AK25" s="611"/>
      <c r="AL25" s="612"/>
    </row>
    <row r="26" spans="2:38" ht="12.75">
      <c r="B26" s="647"/>
      <c r="C26" s="602"/>
      <c r="D26" s="603"/>
      <c r="E26" s="601"/>
      <c r="F26" s="602"/>
      <c r="G26" s="602"/>
      <c r="H26" s="602"/>
      <c r="I26" s="602"/>
      <c r="J26" s="603"/>
      <c r="K26" s="601"/>
      <c r="L26" s="602"/>
      <c r="M26" s="602"/>
      <c r="N26" s="602"/>
      <c r="O26" s="602"/>
      <c r="P26" s="685"/>
      <c r="R26" s="647"/>
      <c r="S26" s="602"/>
      <c r="T26" s="602"/>
      <c r="U26" s="602"/>
      <c r="V26" s="603"/>
      <c r="W26" s="652"/>
      <c r="X26" s="653"/>
      <c r="Y26" s="654"/>
      <c r="Z26" s="640"/>
      <c r="AA26" s="641"/>
      <c r="AB26" s="641"/>
      <c r="AC26" s="642"/>
      <c r="AD26" s="601"/>
      <c r="AE26" s="602"/>
      <c r="AF26" s="602"/>
      <c r="AG26" s="603"/>
      <c r="AH26" s="613"/>
      <c r="AI26" s="614"/>
      <c r="AJ26" s="614"/>
      <c r="AK26" s="614"/>
      <c r="AL26" s="615"/>
    </row>
    <row r="27" spans="2:38" ht="13.5" thickBot="1">
      <c r="B27" s="662"/>
      <c r="C27" s="629"/>
      <c r="D27" s="630"/>
      <c r="E27" s="628"/>
      <c r="F27" s="629"/>
      <c r="G27" s="629"/>
      <c r="H27" s="629"/>
      <c r="I27" s="629"/>
      <c r="J27" s="630"/>
      <c r="K27" s="628"/>
      <c r="L27" s="629"/>
      <c r="M27" s="629"/>
      <c r="N27" s="629"/>
      <c r="O27" s="629"/>
      <c r="P27" s="686"/>
      <c r="R27" s="648"/>
      <c r="S27" s="605"/>
      <c r="T27" s="605"/>
      <c r="U27" s="605"/>
      <c r="V27" s="606"/>
      <c r="W27" s="655"/>
      <c r="X27" s="656"/>
      <c r="Y27" s="657"/>
      <c r="Z27" s="643"/>
      <c r="AA27" s="644"/>
      <c r="AB27" s="644"/>
      <c r="AC27" s="645"/>
      <c r="AD27" s="604"/>
      <c r="AE27" s="605"/>
      <c r="AF27" s="605"/>
      <c r="AG27" s="606"/>
      <c r="AH27" s="616"/>
      <c r="AI27" s="617"/>
      <c r="AJ27" s="617"/>
      <c r="AK27" s="617"/>
      <c r="AL27" s="618"/>
    </row>
    <row r="28" spans="6:38" ht="12.75" customHeight="1">
      <c r="F28" t="s">
        <v>465</v>
      </c>
      <c r="L28" t="s">
        <v>466</v>
      </c>
      <c r="R28" s="646">
        <f>O42</f>
        <v>65.44800000000001</v>
      </c>
      <c r="S28" s="599"/>
      <c r="T28" s="599"/>
      <c r="U28" s="599"/>
      <c r="V28" s="600"/>
      <c r="W28" s="649">
        <v>0.75</v>
      </c>
      <c r="X28" s="650"/>
      <c r="Y28" s="651"/>
      <c r="Z28" s="658">
        <f>R28*W28</f>
        <v>49.086000000000006</v>
      </c>
      <c r="AA28" s="659"/>
      <c r="AB28" s="659"/>
      <c r="AC28" s="660"/>
      <c r="AD28" s="598">
        <f>A57</f>
        <v>5</v>
      </c>
      <c r="AE28" s="599"/>
      <c r="AF28" s="599"/>
      <c r="AG28" s="600"/>
      <c r="AH28" s="610">
        <f>Z28*AD28</f>
        <v>245.43000000000004</v>
      </c>
      <c r="AI28" s="611"/>
      <c r="AJ28" s="611"/>
      <c r="AK28" s="611"/>
      <c r="AL28" s="612"/>
    </row>
    <row r="29" spans="18:38" ht="12.75" customHeight="1">
      <c r="R29" s="647"/>
      <c r="S29" s="602"/>
      <c r="T29" s="602"/>
      <c r="U29" s="602"/>
      <c r="V29" s="603"/>
      <c r="W29" s="652"/>
      <c r="X29" s="653"/>
      <c r="Y29" s="654"/>
      <c r="Z29" s="640"/>
      <c r="AA29" s="641"/>
      <c r="AB29" s="641"/>
      <c r="AC29" s="642"/>
      <c r="AD29" s="601"/>
      <c r="AE29" s="602"/>
      <c r="AF29" s="602"/>
      <c r="AG29" s="603"/>
      <c r="AH29" s="613"/>
      <c r="AI29" s="614"/>
      <c r="AJ29" s="614"/>
      <c r="AK29" s="614"/>
      <c r="AL29" s="615"/>
    </row>
    <row r="30" spans="18:38" ht="12.75" customHeight="1">
      <c r="R30" s="648"/>
      <c r="S30" s="605"/>
      <c r="T30" s="605"/>
      <c r="U30" s="605"/>
      <c r="V30" s="606"/>
      <c r="W30" s="655"/>
      <c r="X30" s="656"/>
      <c r="Y30" s="657"/>
      <c r="Z30" s="643"/>
      <c r="AA30" s="644"/>
      <c r="AB30" s="644"/>
      <c r="AC30" s="645"/>
      <c r="AD30" s="604"/>
      <c r="AE30" s="605"/>
      <c r="AF30" s="605"/>
      <c r="AG30" s="606"/>
      <c r="AH30" s="616"/>
      <c r="AI30" s="617"/>
      <c r="AJ30" s="617"/>
      <c r="AK30" s="617"/>
      <c r="AL30" s="618"/>
    </row>
    <row r="31" spans="18:38" ht="12.75">
      <c r="R31" s="619" t="s">
        <v>372</v>
      </c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1"/>
      <c r="AD31" s="598">
        <f>SUM(AD25:AG30)</f>
        <v>5</v>
      </c>
      <c r="AE31" s="599"/>
      <c r="AF31" s="599"/>
      <c r="AG31" s="600"/>
      <c r="AH31" s="631">
        <f>SUM(AH25:AL30)</f>
        <v>441.77400000000006</v>
      </c>
      <c r="AI31" s="632"/>
      <c r="AJ31" s="632"/>
      <c r="AK31" s="632"/>
      <c r="AL31" s="633"/>
    </row>
    <row r="32" spans="18:38" ht="12.75">
      <c r="R32" s="622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4"/>
      <c r="AD32" s="601"/>
      <c r="AE32" s="602"/>
      <c r="AF32" s="602"/>
      <c r="AG32" s="603"/>
      <c r="AH32" s="613"/>
      <c r="AI32" s="614"/>
      <c r="AJ32" s="614"/>
      <c r="AK32" s="614"/>
      <c r="AL32" s="615"/>
    </row>
    <row r="33" spans="18:38" ht="12.75">
      <c r="R33" s="622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4"/>
      <c r="AD33" s="601"/>
      <c r="AE33" s="602"/>
      <c r="AF33" s="602"/>
      <c r="AG33" s="603"/>
      <c r="AH33" s="613"/>
      <c r="AI33" s="614"/>
      <c r="AJ33" s="614"/>
      <c r="AK33" s="614"/>
      <c r="AL33" s="615"/>
    </row>
    <row r="34" spans="18:38" ht="12.75">
      <c r="R34" s="622"/>
      <c r="S34" s="623"/>
      <c r="T34" s="623"/>
      <c r="U34" s="623"/>
      <c r="V34" s="623"/>
      <c r="W34" s="623"/>
      <c r="X34" s="623"/>
      <c r="Y34" s="623"/>
      <c r="Z34" s="623"/>
      <c r="AA34" s="623"/>
      <c r="AB34" s="623"/>
      <c r="AC34" s="624"/>
      <c r="AD34" s="601"/>
      <c r="AE34" s="602"/>
      <c r="AF34" s="602"/>
      <c r="AG34" s="603"/>
      <c r="AH34" s="613"/>
      <c r="AI34" s="614"/>
      <c r="AJ34" s="614"/>
      <c r="AK34" s="614"/>
      <c r="AL34" s="615"/>
    </row>
    <row r="35" spans="18:38" ht="13.5" thickBot="1">
      <c r="R35" s="625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27"/>
      <c r="AD35" s="628"/>
      <c r="AE35" s="629"/>
      <c r="AF35" s="629"/>
      <c r="AG35" s="630"/>
      <c r="AH35" s="634"/>
      <c r="AI35" s="635"/>
      <c r="AJ35" s="635"/>
      <c r="AK35" s="635"/>
      <c r="AL35" s="636"/>
    </row>
    <row r="37" spans="2:21" ht="13.5" thickBot="1">
      <c r="B37">
        <v>1</v>
      </c>
      <c r="U37">
        <v>2</v>
      </c>
    </row>
    <row r="38" spans="2:38" ht="12.75">
      <c r="B38" s="579" t="s">
        <v>373</v>
      </c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1"/>
      <c r="T38" s="266"/>
      <c r="U38" s="579" t="s">
        <v>374</v>
      </c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80"/>
      <c r="AJ38" s="580"/>
      <c r="AK38" s="580"/>
      <c r="AL38" s="581"/>
    </row>
    <row r="39" spans="2:38" ht="13.5" thickBot="1">
      <c r="B39" s="582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4"/>
      <c r="T39" s="266"/>
      <c r="U39" s="582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4"/>
    </row>
    <row r="40" spans="2:38" ht="12.75">
      <c r="B40" s="585" t="s">
        <v>375</v>
      </c>
      <c r="C40" s="586"/>
      <c r="D40" s="586"/>
      <c r="E40" s="586"/>
      <c r="F40" s="586"/>
      <c r="G40" s="586"/>
      <c r="H40" s="586"/>
      <c r="I40" s="587"/>
      <c r="J40" s="591" t="s">
        <v>376</v>
      </c>
      <c r="K40" s="580"/>
      <c r="L40" s="580"/>
      <c r="M40" s="580"/>
      <c r="N40" s="581"/>
      <c r="O40" s="591" t="s">
        <v>377</v>
      </c>
      <c r="P40" s="580"/>
      <c r="Q40" s="580"/>
      <c r="R40" s="580"/>
      <c r="S40" s="581"/>
      <c r="T40" s="266"/>
      <c r="U40" s="585" t="s">
        <v>375</v>
      </c>
      <c r="V40" s="586"/>
      <c r="W40" s="586"/>
      <c r="X40" s="586"/>
      <c r="Y40" s="586"/>
      <c r="Z40" s="586"/>
      <c r="AA40" s="586"/>
      <c r="AB40" s="587"/>
      <c r="AC40" s="591" t="s">
        <v>376</v>
      </c>
      <c r="AD40" s="580"/>
      <c r="AE40" s="580"/>
      <c r="AF40" s="580"/>
      <c r="AG40" s="581"/>
      <c r="AH40" s="591" t="s">
        <v>377</v>
      </c>
      <c r="AI40" s="580"/>
      <c r="AJ40" s="580"/>
      <c r="AK40" s="580"/>
      <c r="AL40" s="581"/>
    </row>
    <row r="41" spans="2:38" ht="13.5" thickBot="1">
      <c r="B41" s="588"/>
      <c r="C41" s="589"/>
      <c r="D41" s="589"/>
      <c r="E41" s="589"/>
      <c r="F41" s="589"/>
      <c r="G41" s="589"/>
      <c r="H41" s="589"/>
      <c r="I41" s="590"/>
      <c r="J41" s="582"/>
      <c r="K41" s="583"/>
      <c r="L41" s="583"/>
      <c r="M41" s="583"/>
      <c r="N41" s="584"/>
      <c r="O41" s="582"/>
      <c r="P41" s="583"/>
      <c r="Q41" s="583"/>
      <c r="R41" s="583"/>
      <c r="S41" s="584"/>
      <c r="T41" s="266"/>
      <c r="U41" s="588"/>
      <c r="V41" s="589"/>
      <c r="W41" s="589"/>
      <c r="X41" s="589"/>
      <c r="Y41" s="589"/>
      <c r="Z41" s="589"/>
      <c r="AA41" s="589"/>
      <c r="AB41" s="590"/>
      <c r="AC41" s="582"/>
      <c r="AD41" s="583"/>
      <c r="AE41" s="583"/>
      <c r="AF41" s="583"/>
      <c r="AG41" s="584"/>
      <c r="AH41" s="582"/>
      <c r="AI41" s="583"/>
      <c r="AJ41" s="583"/>
      <c r="AK41" s="583"/>
      <c r="AL41" s="584"/>
    </row>
    <row r="42" spans="2:38" ht="12.75" customHeight="1">
      <c r="B42" s="592">
        <f>NOMINA2016!D61</f>
        <v>1963.44</v>
      </c>
      <c r="C42" s="593"/>
      <c r="D42" s="593"/>
      <c r="E42" s="593"/>
      <c r="F42" s="593"/>
      <c r="G42" s="593"/>
      <c r="H42" s="593"/>
      <c r="I42" s="594"/>
      <c r="J42" s="565">
        <f>NOMINA2016!H6</f>
        <v>30</v>
      </c>
      <c r="K42" s="560"/>
      <c r="L42" s="560"/>
      <c r="M42" s="560"/>
      <c r="N42" s="561"/>
      <c r="O42" s="573">
        <f>B42/J42</f>
        <v>65.44800000000001</v>
      </c>
      <c r="P42" s="574"/>
      <c r="Q42" s="574"/>
      <c r="R42" s="574"/>
      <c r="S42" s="575"/>
      <c r="T42" s="266"/>
      <c r="U42" s="592">
        <f>NOMINA2016!E62</f>
        <v>2121.04</v>
      </c>
      <c r="V42" s="560"/>
      <c r="W42" s="560"/>
      <c r="X42" s="560"/>
      <c r="Y42" s="560"/>
      <c r="Z42" s="560"/>
      <c r="AA42" s="560"/>
      <c r="AB42" s="561"/>
      <c r="AC42" s="565">
        <f>NOMINA2016!H6</f>
        <v>30</v>
      </c>
      <c r="AD42" s="560"/>
      <c r="AE42" s="560"/>
      <c r="AF42" s="560"/>
      <c r="AG42" s="561"/>
      <c r="AH42" s="573">
        <f>U42/AC42</f>
        <v>70.70133333333334</v>
      </c>
      <c r="AI42" s="574"/>
      <c r="AJ42" s="574"/>
      <c r="AK42" s="574"/>
      <c r="AL42" s="575"/>
    </row>
    <row r="43" spans="2:38" ht="13.5" customHeight="1" thickBot="1">
      <c r="B43" s="595"/>
      <c r="C43" s="596"/>
      <c r="D43" s="596"/>
      <c r="E43" s="596"/>
      <c r="F43" s="596"/>
      <c r="G43" s="596"/>
      <c r="H43" s="596"/>
      <c r="I43" s="597"/>
      <c r="J43" s="562"/>
      <c r="K43" s="563"/>
      <c r="L43" s="563"/>
      <c r="M43" s="563"/>
      <c r="N43" s="564"/>
      <c r="O43" s="576"/>
      <c r="P43" s="577"/>
      <c r="Q43" s="577"/>
      <c r="R43" s="577"/>
      <c r="S43" s="578"/>
      <c r="T43" s="266"/>
      <c r="U43" s="562"/>
      <c r="V43" s="563"/>
      <c r="W43" s="563"/>
      <c r="X43" s="563"/>
      <c r="Y43" s="563"/>
      <c r="Z43" s="563"/>
      <c r="AA43" s="563"/>
      <c r="AB43" s="564"/>
      <c r="AC43" s="562"/>
      <c r="AD43" s="563"/>
      <c r="AE43" s="563"/>
      <c r="AF43" s="563"/>
      <c r="AG43" s="564"/>
      <c r="AH43" s="576"/>
      <c r="AI43" s="577"/>
      <c r="AJ43" s="577"/>
      <c r="AK43" s="577"/>
      <c r="AL43" s="578"/>
    </row>
    <row r="44" spans="2:38" ht="13.5" thickBot="1">
      <c r="B44" s="266">
        <v>6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>
        <v>7</v>
      </c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</row>
    <row r="45" spans="2:38" ht="12.75">
      <c r="B45" s="579" t="s">
        <v>378</v>
      </c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1"/>
      <c r="T45" s="266"/>
      <c r="U45" s="579" t="s">
        <v>379</v>
      </c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0"/>
      <c r="AG45" s="580"/>
      <c r="AH45" s="580"/>
      <c r="AI45" s="580"/>
      <c r="AJ45" s="580"/>
      <c r="AK45" s="580"/>
      <c r="AL45" s="581"/>
    </row>
    <row r="46" spans="2:38" ht="13.5" thickBot="1">
      <c r="B46" s="582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4"/>
      <c r="T46" s="266"/>
      <c r="U46" s="582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3"/>
      <c r="AL46" s="584"/>
    </row>
    <row r="47" spans="2:38" ht="12.75">
      <c r="B47" s="585" t="s">
        <v>377</v>
      </c>
      <c r="C47" s="586"/>
      <c r="D47" s="586"/>
      <c r="E47" s="586"/>
      <c r="F47" s="586"/>
      <c r="G47" s="586"/>
      <c r="H47" s="586"/>
      <c r="I47" s="587"/>
      <c r="J47" s="591" t="s">
        <v>380</v>
      </c>
      <c r="K47" s="580"/>
      <c r="L47" s="580"/>
      <c r="M47" s="580"/>
      <c r="N47" s="581"/>
      <c r="O47" s="591" t="s">
        <v>381</v>
      </c>
      <c r="P47" s="580"/>
      <c r="Q47" s="580"/>
      <c r="R47" s="580"/>
      <c r="S47" s="581"/>
      <c r="T47" s="266"/>
      <c r="U47" s="585" t="s">
        <v>377</v>
      </c>
      <c r="V47" s="586"/>
      <c r="W47" s="586"/>
      <c r="X47" s="586"/>
      <c r="Y47" s="586"/>
      <c r="Z47" s="586"/>
      <c r="AA47" s="586"/>
      <c r="AB47" s="587"/>
      <c r="AC47" s="591" t="s">
        <v>380</v>
      </c>
      <c r="AD47" s="580"/>
      <c r="AE47" s="580"/>
      <c r="AF47" s="580"/>
      <c r="AG47" s="581"/>
      <c r="AH47" s="591" t="s">
        <v>381</v>
      </c>
      <c r="AI47" s="580"/>
      <c r="AJ47" s="580"/>
      <c r="AK47" s="580"/>
      <c r="AL47" s="581"/>
    </row>
    <row r="48" spans="2:38" ht="13.5" thickBot="1">
      <c r="B48" s="588"/>
      <c r="C48" s="589"/>
      <c r="D48" s="589"/>
      <c r="E48" s="589"/>
      <c r="F48" s="589"/>
      <c r="G48" s="589"/>
      <c r="H48" s="589"/>
      <c r="I48" s="590"/>
      <c r="J48" s="582"/>
      <c r="K48" s="583"/>
      <c r="L48" s="583"/>
      <c r="M48" s="583"/>
      <c r="N48" s="584"/>
      <c r="O48" s="582"/>
      <c r="P48" s="583"/>
      <c r="Q48" s="583"/>
      <c r="R48" s="583"/>
      <c r="S48" s="584"/>
      <c r="T48" s="266"/>
      <c r="U48" s="588"/>
      <c r="V48" s="589"/>
      <c r="W48" s="589"/>
      <c r="X48" s="589"/>
      <c r="Y48" s="589"/>
      <c r="Z48" s="589"/>
      <c r="AA48" s="589"/>
      <c r="AB48" s="590"/>
      <c r="AC48" s="582"/>
      <c r="AD48" s="583"/>
      <c r="AE48" s="583"/>
      <c r="AF48" s="583"/>
      <c r="AG48" s="584"/>
      <c r="AH48" s="582"/>
      <c r="AI48" s="583"/>
      <c r="AJ48" s="583"/>
      <c r="AK48" s="583"/>
      <c r="AL48" s="584"/>
    </row>
    <row r="49" spans="2:38" ht="12.75">
      <c r="B49" s="559">
        <f>O42</f>
        <v>65.44800000000001</v>
      </c>
      <c r="C49" s="560"/>
      <c r="D49" s="560"/>
      <c r="E49" s="560"/>
      <c r="F49" s="560"/>
      <c r="G49" s="560"/>
      <c r="H49" s="560"/>
      <c r="I49" s="561"/>
      <c r="J49" s="565">
        <f>A58</f>
        <v>25</v>
      </c>
      <c r="K49" s="560"/>
      <c r="L49" s="560"/>
      <c r="M49" s="560"/>
      <c r="N49" s="561"/>
      <c r="O49" s="566">
        <f>B49*J49</f>
        <v>1636.2000000000003</v>
      </c>
      <c r="P49" s="567"/>
      <c r="Q49" s="567"/>
      <c r="R49" s="567"/>
      <c r="S49" s="568"/>
      <c r="T49" s="266"/>
      <c r="U49" s="572">
        <f>B49+(A60/360)</f>
        <v>65.44800000000001</v>
      </c>
      <c r="V49" s="560"/>
      <c r="W49" s="560"/>
      <c r="X49" s="560"/>
      <c r="Y49" s="560"/>
      <c r="Z49" s="560"/>
      <c r="AA49" s="560"/>
      <c r="AB49" s="561"/>
      <c r="AC49" s="565">
        <f>A58</f>
        <v>25</v>
      </c>
      <c r="AD49" s="560"/>
      <c r="AE49" s="560"/>
      <c r="AF49" s="560"/>
      <c r="AG49" s="561"/>
      <c r="AH49" s="573">
        <f>U49*AC49</f>
        <v>1636.2000000000003</v>
      </c>
      <c r="AI49" s="574"/>
      <c r="AJ49" s="574"/>
      <c r="AK49" s="574"/>
      <c r="AL49" s="575"/>
    </row>
    <row r="50" spans="2:38" ht="13.5" thickBot="1">
      <c r="B50" s="562"/>
      <c r="C50" s="563"/>
      <c r="D50" s="563"/>
      <c r="E50" s="563"/>
      <c r="F50" s="563"/>
      <c r="G50" s="563"/>
      <c r="H50" s="563"/>
      <c r="I50" s="564"/>
      <c r="J50" s="562"/>
      <c r="K50" s="563"/>
      <c r="L50" s="563"/>
      <c r="M50" s="563"/>
      <c r="N50" s="564"/>
      <c r="O50" s="569"/>
      <c r="P50" s="570"/>
      <c r="Q50" s="570"/>
      <c r="R50" s="570"/>
      <c r="S50" s="571"/>
      <c r="T50" s="266"/>
      <c r="U50" s="562"/>
      <c r="V50" s="563"/>
      <c r="W50" s="563"/>
      <c r="X50" s="563"/>
      <c r="Y50" s="563"/>
      <c r="Z50" s="563"/>
      <c r="AA50" s="563"/>
      <c r="AB50" s="564"/>
      <c r="AC50" s="562"/>
      <c r="AD50" s="563"/>
      <c r="AE50" s="563"/>
      <c r="AF50" s="563"/>
      <c r="AG50" s="564"/>
      <c r="AH50" s="576"/>
      <c r="AI50" s="577"/>
      <c r="AJ50" s="577"/>
      <c r="AK50" s="577"/>
      <c r="AL50" s="578"/>
    </row>
    <row r="51" ht="12.75">
      <c r="U51" t="s">
        <v>363</v>
      </c>
    </row>
    <row r="52" spans="2:38" ht="12.75">
      <c r="B52" s="267" t="s">
        <v>382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</row>
    <row r="53" spans="2:38" ht="12.75"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</row>
    <row r="54" spans="1:38" ht="12.75">
      <c r="A54" s="386" t="str">
        <f>IF($A$58&gt;3,"3",IF($A$58&lt;3,$A$58))</f>
        <v>3</v>
      </c>
      <c r="B54" s="233">
        <v>1</v>
      </c>
      <c r="C54" s="233"/>
      <c r="D54" s="233" t="s">
        <v>383</v>
      </c>
      <c r="E54" s="233"/>
      <c r="F54" s="233">
        <v>3</v>
      </c>
      <c r="G54" s="233"/>
      <c r="H54" s="233" t="s">
        <v>384</v>
      </c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67"/>
      <c r="AI54" s="267"/>
      <c r="AJ54" s="267"/>
      <c r="AK54" s="267"/>
      <c r="AL54" s="267"/>
    </row>
    <row r="55" spans="1:38" ht="12.75">
      <c r="A55" s="386" t="str">
        <f>IF($A$58&gt;15,"12",IF($A$58&lt;15,$A$58-A54))</f>
        <v>12</v>
      </c>
      <c r="B55" s="233">
        <v>4</v>
      </c>
      <c r="C55" s="233"/>
      <c r="D55" s="233" t="s">
        <v>383</v>
      </c>
      <c r="E55" s="233"/>
      <c r="F55" s="233">
        <v>15</v>
      </c>
      <c r="G55" s="233"/>
      <c r="H55" s="233" t="s">
        <v>385</v>
      </c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67"/>
      <c r="AI55" s="267"/>
      <c r="AJ55" s="267"/>
      <c r="AK55" s="267"/>
      <c r="AL55" s="267"/>
    </row>
    <row r="56" spans="1:38" ht="12.75">
      <c r="A56" s="386" t="str">
        <f>IF($A$58&gt;20,"5",IF($A$58&lt;20,$A$58-A55-A54))</f>
        <v>5</v>
      </c>
      <c r="B56" s="233">
        <v>16</v>
      </c>
      <c r="C56" s="233"/>
      <c r="D56" s="233" t="s">
        <v>383</v>
      </c>
      <c r="E56" s="233"/>
      <c r="F56" s="233">
        <v>20</v>
      </c>
      <c r="G56" s="233"/>
      <c r="H56" s="233" t="s">
        <v>386</v>
      </c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67"/>
      <c r="AI56" s="267"/>
      <c r="AJ56" s="267"/>
      <c r="AK56" s="267"/>
      <c r="AL56" s="267"/>
    </row>
    <row r="57" spans="1:38" ht="13.5" thickBot="1">
      <c r="A57" s="387">
        <f>A58-A54-A55-A56</f>
        <v>5</v>
      </c>
      <c r="B57" s="233">
        <v>21</v>
      </c>
      <c r="C57" s="233" t="s">
        <v>387</v>
      </c>
      <c r="D57" s="233" t="s">
        <v>388</v>
      </c>
      <c r="E57" s="233"/>
      <c r="F57" s="233" t="s">
        <v>166</v>
      </c>
      <c r="G57" s="233"/>
      <c r="H57" s="233" t="s">
        <v>389</v>
      </c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67"/>
      <c r="AI57" s="267"/>
      <c r="AJ57" s="267"/>
      <c r="AK57" s="267"/>
      <c r="AL57" s="267"/>
    </row>
    <row r="58" spans="1:10" ht="13.5" thickBot="1">
      <c r="A58" s="388">
        <v>25</v>
      </c>
      <c r="B58" s="553" t="s">
        <v>400</v>
      </c>
      <c r="C58" s="553"/>
      <c r="D58" s="553"/>
      <c r="E58" s="553"/>
      <c r="F58" s="553"/>
      <c r="G58" s="553"/>
      <c r="H58" s="553"/>
      <c r="I58" s="553"/>
      <c r="J58" s="553"/>
    </row>
    <row r="60" spans="1:30" ht="12.75">
      <c r="A60" s="554">
        <v>0</v>
      </c>
      <c r="B60" s="555"/>
      <c r="C60" s="555"/>
      <c r="D60" s="556"/>
      <c r="E60" s="557" t="s">
        <v>401</v>
      </c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</row>
  </sheetData>
  <sheetProtection/>
  <mergeCells count="51">
    <mergeCell ref="AH25:AL27"/>
    <mergeCell ref="B22:D27"/>
    <mergeCell ref="B10:G16"/>
    <mergeCell ref="H10:N16"/>
    <mergeCell ref="O10:Y16"/>
    <mergeCell ref="Z10:AL16"/>
    <mergeCell ref="E23:J27"/>
    <mergeCell ref="K23:P27"/>
    <mergeCell ref="R25:V27"/>
    <mergeCell ref="W25:Y27"/>
    <mergeCell ref="AD28:AG30"/>
    <mergeCell ref="AD25:AG27"/>
    <mergeCell ref="AH28:AL30"/>
    <mergeCell ref="R31:AC35"/>
    <mergeCell ref="AD31:AG35"/>
    <mergeCell ref="AH31:AL35"/>
    <mergeCell ref="Z25:AC27"/>
    <mergeCell ref="R28:V30"/>
    <mergeCell ref="W28:Y30"/>
    <mergeCell ref="Z28:AC30"/>
    <mergeCell ref="B38:S39"/>
    <mergeCell ref="U38:AL39"/>
    <mergeCell ref="AC42:AG43"/>
    <mergeCell ref="AH42:AL43"/>
    <mergeCell ref="B40:I41"/>
    <mergeCell ref="J40:N41"/>
    <mergeCell ref="O40:S41"/>
    <mergeCell ref="U40:AB41"/>
    <mergeCell ref="AC40:AG41"/>
    <mergeCell ref="AH40:AL41"/>
    <mergeCell ref="B42:I43"/>
    <mergeCell ref="J42:N43"/>
    <mergeCell ref="O42:S43"/>
    <mergeCell ref="U42:AB43"/>
    <mergeCell ref="AH49:AL50"/>
    <mergeCell ref="B45:S46"/>
    <mergeCell ref="U45:AL46"/>
    <mergeCell ref="B47:I48"/>
    <mergeCell ref="J47:N48"/>
    <mergeCell ref="O47:S48"/>
    <mergeCell ref="U47:AB48"/>
    <mergeCell ref="AC47:AG48"/>
    <mergeCell ref="AH47:AL48"/>
    <mergeCell ref="B58:J58"/>
    <mergeCell ref="A60:D60"/>
    <mergeCell ref="E60:AD60"/>
    <mergeCell ref="B49:I50"/>
    <mergeCell ref="J49:N50"/>
    <mergeCell ref="O49:S50"/>
    <mergeCell ref="U49:AB50"/>
    <mergeCell ref="AC49:AG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69"/>
  <sheetViews>
    <sheetView zoomScale="150" zoomScaleNormal="150" zoomScalePageLayoutView="0" workbookViewId="0" topLeftCell="A19">
      <selection activeCell="E29" sqref="E29"/>
    </sheetView>
  </sheetViews>
  <sheetFormatPr defaultColWidth="11.421875" defaultRowHeight="12.75"/>
  <cols>
    <col min="1" max="1" width="17.28125" style="177" bestFit="1" customWidth="1"/>
    <col min="2" max="2" width="12.421875" style="174" customWidth="1"/>
    <col min="3" max="3" width="12.8515625" style="177" customWidth="1"/>
    <col min="4" max="4" width="14.7109375" style="174" customWidth="1"/>
    <col min="5" max="5" width="13.7109375" style="177" customWidth="1"/>
    <col min="6" max="6" width="13.421875" style="174" customWidth="1"/>
    <col min="7" max="7" width="17.7109375" style="177" customWidth="1"/>
    <col min="8" max="8" width="17.7109375" style="174" customWidth="1"/>
    <col min="9" max="9" width="11.421875" style="174" customWidth="1"/>
  </cols>
  <sheetData>
    <row r="1" spans="1:12" s="100" customFormat="1" ht="15.75" thickTop="1">
      <c r="A1" s="333" t="s">
        <v>84</v>
      </c>
      <c r="B1" s="693">
        <f>NOMINA2016!B1</f>
        <v>0</v>
      </c>
      <c r="C1" s="694"/>
      <c r="D1" s="695"/>
      <c r="E1" s="334" t="s">
        <v>85</v>
      </c>
      <c r="F1" s="456" t="s">
        <v>474</v>
      </c>
      <c r="G1" s="456"/>
      <c r="H1" s="457"/>
      <c r="I1" s="99"/>
      <c r="L1" s="331" t="s">
        <v>86</v>
      </c>
    </row>
    <row r="2" spans="1:12" s="100" customFormat="1" ht="15">
      <c r="A2" s="335" t="s">
        <v>87</v>
      </c>
      <c r="B2" s="691">
        <f>NOMINA2016!B2</f>
        <v>0</v>
      </c>
      <c r="C2" s="696"/>
      <c r="D2" s="692"/>
      <c r="E2" s="297" t="s">
        <v>88</v>
      </c>
      <c r="F2" s="374">
        <f>NOMINA2016!F2</f>
        <v>0</v>
      </c>
      <c r="G2" s="336" t="s">
        <v>89</v>
      </c>
      <c r="H2" s="337" t="str">
        <f>NOMINA2016!H2</f>
        <v>08-0000000000</v>
      </c>
      <c r="I2" s="99"/>
      <c r="L2" s="331" t="s">
        <v>90</v>
      </c>
    </row>
    <row r="3" spans="1:12" s="100" customFormat="1" ht="15">
      <c r="A3" s="335" t="s">
        <v>91</v>
      </c>
      <c r="B3" s="691">
        <f>NOMINA2016!B3</f>
        <v>0</v>
      </c>
      <c r="C3" s="692"/>
      <c r="D3" s="102" t="s">
        <v>92</v>
      </c>
      <c r="E3" s="697" t="s">
        <v>467</v>
      </c>
      <c r="F3" s="697"/>
      <c r="G3" s="297" t="s">
        <v>93</v>
      </c>
      <c r="H3" s="338" t="str">
        <f>NOMINA2016!H3</f>
        <v>M</v>
      </c>
      <c r="I3" s="99"/>
      <c r="L3" s="424"/>
    </row>
    <row r="4" spans="1:14" s="100" customFormat="1" ht="15">
      <c r="A4" s="339" t="s">
        <v>95</v>
      </c>
      <c r="B4" s="691">
        <f>NOMINA2016!B4</f>
        <v>0</v>
      </c>
      <c r="C4" s="692"/>
      <c r="D4" s="340" t="s">
        <v>96</v>
      </c>
      <c r="E4" s="341">
        <v>3</v>
      </c>
      <c r="F4" s="342"/>
      <c r="G4" s="297" t="s">
        <v>97</v>
      </c>
      <c r="H4" s="343">
        <v>32143</v>
      </c>
      <c r="I4" s="99"/>
      <c r="J4" s="210"/>
      <c r="K4" s="210"/>
      <c r="L4" s="332" t="s">
        <v>424</v>
      </c>
      <c r="M4" s="210"/>
      <c r="N4" s="210"/>
    </row>
    <row r="5" spans="1:14" s="100" customFormat="1" ht="15">
      <c r="A5" s="344"/>
      <c r="B5" s="345"/>
      <c r="C5" s="302"/>
      <c r="D5" s="345"/>
      <c r="E5" s="302"/>
      <c r="F5" s="299" t="s">
        <v>98</v>
      </c>
      <c r="G5" s="302"/>
      <c r="H5" s="346">
        <v>2</v>
      </c>
      <c r="I5" s="99"/>
      <c r="J5" s="210"/>
      <c r="K5" s="210"/>
      <c r="L5" s="332"/>
      <c r="M5" s="210"/>
      <c r="N5" s="210"/>
    </row>
    <row r="6" spans="1:14" s="100" customFormat="1" ht="15.75" thickBot="1">
      <c r="A6" s="704" t="s">
        <v>99</v>
      </c>
      <c r="B6" s="705"/>
      <c r="C6" s="397" t="s">
        <v>468</v>
      </c>
      <c r="D6" s="398">
        <v>2016</v>
      </c>
      <c r="E6" s="347" t="s">
        <v>406</v>
      </c>
      <c r="F6" s="417">
        <v>21</v>
      </c>
      <c r="G6" s="348" t="s">
        <v>403</v>
      </c>
      <c r="H6" s="349">
        <v>30</v>
      </c>
      <c r="I6" s="99"/>
      <c r="J6" s="210"/>
      <c r="K6" s="210"/>
      <c r="L6" s="210"/>
      <c r="M6" s="210"/>
      <c r="N6" s="210"/>
    </row>
    <row r="7" spans="1:14" s="107" customFormat="1" ht="15.75" thickTop="1">
      <c r="A7" s="350" t="s">
        <v>100</v>
      </c>
      <c r="B7" s="102"/>
      <c r="C7" s="351"/>
      <c r="D7" s="102"/>
      <c r="E7" s="334" t="s">
        <v>423</v>
      </c>
      <c r="F7" s="352" t="str">
        <f>NOMINA2016!F7</f>
        <v>NO</v>
      </c>
      <c r="G7" s="353"/>
      <c r="H7" s="354" t="s">
        <v>101</v>
      </c>
      <c r="I7" s="106"/>
      <c r="J7" s="211"/>
      <c r="K7" s="211"/>
      <c r="L7" s="211"/>
      <c r="M7" s="211"/>
      <c r="N7" s="211"/>
    </row>
    <row r="8" spans="1:14" s="100" customFormat="1" ht="15.75">
      <c r="A8" s="355"/>
      <c r="B8" s="120"/>
      <c r="C8" s="120"/>
      <c r="D8" s="102" t="s">
        <v>354</v>
      </c>
      <c r="E8" s="706"/>
      <c r="F8" s="706"/>
      <c r="G8" s="706"/>
      <c r="H8" s="356"/>
      <c r="I8" s="99"/>
      <c r="J8" s="210"/>
      <c r="K8" s="210"/>
      <c r="L8" s="210"/>
      <c r="M8" s="210"/>
      <c r="N8" s="210"/>
    </row>
    <row r="9" spans="1:14" s="100" customFormat="1" ht="15.75" thickBot="1">
      <c r="A9" s="344" t="s">
        <v>102</v>
      </c>
      <c r="B9" s="345"/>
      <c r="C9" s="302"/>
      <c r="D9" s="345"/>
      <c r="E9" s="302"/>
      <c r="F9" s="345"/>
      <c r="G9" s="302"/>
      <c r="H9" s="357"/>
      <c r="I9" s="99"/>
      <c r="J9" s="210"/>
      <c r="K9" s="210"/>
      <c r="L9" s="210"/>
      <c r="M9" s="210"/>
      <c r="N9" s="210"/>
    </row>
    <row r="10" spans="1:14" s="100" customFormat="1" ht="22.5" customHeight="1">
      <c r="A10" s="344"/>
      <c r="B10" s="345"/>
      <c r="C10" s="302"/>
      <c r="D10" s="358" t="s">
        <v>103</v>
      </c>
      <c r="E10" s="358" t="s">
        <v>104</v>
      </c>
      <c r="F10" s="345"/>
      <c r="G10" s="302"/>
      <c r="H10" s="357"/>
      <c r="I10" s="99"/>
      <c r="J10" s="210"/>
      <c r="K10" s="210"/>
      <c r="L10" s="210"/>
      <c r="M10" s="210"/>
      <c r="N10" s="210"/>
    </row>
    <row r="11" spans="1:14" s="100" customFormat="1" ht="16.5" thickBot="1">
      <c r="A11" s="700" t="s">
        <v>105</v>
      </c>
      <c r="B11" s="701"/>
      <c r="C11" s="707"/>
      <c r="D11" s="290">
        <f>NOMINA2016!D11</f>
        <v>1200</v>
      </c>
      <c r="E11" s="292">
        <f>H6-'ANEXO ENF'!A58</f>
        <v>5</v>
      </c>
      <c r="F11" s="359"/>
      <c r="G11" s="291">
        <f>IF(H3="D",D11*E11,IF(D11=30,D11,D11/30*E11))</f>
        <v>200</v>
      </c>
      <c r="H11" s="356"/>
      <c r="I11" s="99"/>
      <c r="J11" s="210"/>
      <c r="K11" s="210"/>
      <c r="L11" s="210"/>
      <c r="M11" s="210"/>
      <c r="N11" s="210"/>
    </row>
    <row r="12" spans="1:14" s="100" customFormat="1" ht="15.75">
      <c r="A12" s="700" t="s">
        <v>97</v>
      </c>
      <c r="B12" s="701"/>
      <c r="C12" s="293">
        <f>NOMINA2016!C12</f>
        <v>0.25</v>
      </c>
      <c r="D12" s="360"/>
      <c r="E12" s="120"/>
      <c r="F12" s="120"/>
      <c r="G12" s="118">
        <f>G11*C12</f>
        <v>50</v>
      </c>
      <c r="H12" s="356"/>
      <c r="I12" s="99"/>
      <c r="J12" s="210"/>
      <c r="K12" s="210"/>
      <c r="L12" s="210"/>
      <c r="M12" s="210"/>
      <c r="N12" s="210"/>
    </row>
    <row r="13" spans="1:14" s="100" customFormat="1" ht="15.75">
      <c r="A13" s="702" t="s">
        <v>106</v>
      </c>
      <c r="B13" s="703"/>
      <c r="C13" s="302"/>
      <c r="D13" s="361" t="s">
        <v>107</v>
      </c>
      <c r="E13" s="120"/>
      <c r="F13" s="120"/>
      <c r="G13" s="120"/>
      <c r="H13" s="356"/>
      <c r="I13" s="99"/>
      <c r="J13" s="210"/>
      <c r="K13" s="210"/>
      <c r="L13" s="210"/>
      <c r="M13" s="210"/>
      <c r="N13" s="210"/>
    </row>
    <row r="14" spans="1:14" s="100" customFormat="1" ht="15.75">
      <c r="A14" s="698" t="str">
        <f>NOMINA2016!A14</f>
        <v>INCENTIVOS</v>
      </c>
      <c r="B14" s="699"/>
      <c r="C14" s="330"/>
      <c r="D14" s="361" t="s">
        <v>86</v>
      </c>
      <c r="E14" s="362">
        <f>NOMINA2016!E14</f>
        <v>122.3</v>
      </c>
      <c r="F14" s="363" t="s">
        <v>402</v>
      </c>
      <c r="G14" s="122">
        <f>NOMINA2016!G14</f>
        <v>122.3</v>
      </c>
      <c r="H14" s="356"/>
      <c r="I14" s="123">
        <f aca="true" t="shared" si="0" ref="I14:I19">IF(D14="NO","",G14)</f>
        <v>122.3</v>
      </c>
      <c r="J14" s="210"/>
      <c r="K14" s="210"/>
      <c r="L14" s="210"/>
      <c r="M14" s="210"/>
      <c r="N14" s="210"/>
    </row>
    <row r="15" spans="1:14" s="100" customFormat="1" ht="15.75">
      <c r="A15" s="698">
        <f>NOMINA2016!A15</f>
        <v>0</v>
      </c>
      <c r="B15" s="699"/>
      <c r="C15" s="330" t="s">
        <v>424</v>
      </c>
      <c r="D15" s="361" t="s">
        <v>90</v>
      </c>
      <c r="E15" s="362">
        <f>NOMINA2016!E15</f>
        <v>0</v>
      </c>
      <c r="F15" s="363" t="s">
        <v>402</v>
      </c>
      <c r="G15" s="122">
        <f>(E15/30)*$E$11</f>
        <v>0</v>
      </c>
      <c r="H15" s="356"/>
      <c r="I15" s="123">
        <f t="shared" si="0"/>
      </c>
      <c r="J15" s="212"/>
      <c r="K15" s="210"/>
      <c r="L15" s="210"/>
      <c r="M15" s="210"/>
      <c r="N15" s="210"/>
    </row>
    <row r="16" spans="1:9" s="100" customFormat="1" ht="15.75">
      <c r="A16" s="698">
        <f>NOMINA2016!A16</f>
        <v>0</v>
      </c>
      <c r="B16" s="699"/>
      <c r="C16" s="330"/>
      <c r="D16" s="361" t="s">
        <v>90</v>
      </c>
      <c r="E16" s="362">
        <f>NOMINA2016!E16</f>
        <v>0</v>
      </c>
      <c r="F16" s="363" t="s">
        <v>402</v>
      </c>
      <c r="G16" s="122">
        <f>E16</f>
        <v>0</v>
      </c>
      <c r="H16" s="356"/>
      <c r="I16" s="123">
        <f t="shared" si="0"/>
      </c>
    </row>
    <row r="17" spans="1:9" s="100" customFormat="1" ht="15.75">
      <c r="A17" s="464" t="str">
        <f>NOMINA2016!A17</f>
        <v>PLUS PUNTUALIDAD</v>
      </c>
      <c r="B17" s="465"/>
      <c r="C17" s="466"/>
      <c r="D17" s="361" t="s">
        <v>90</v>
      </c>
      <c r="E17" s="362">
        <f>NOMINA2016!E17</f>
        <v>3.07</v>
      </c>
      <c r="F17" s="363" t="s">
        <v>405</v>
      </c>
      <c r="G17" s="364">
        <f>E17*$F$6</f>
        <v>64.47</v>
      </c>
      <c r="H17" s="356"/>
      <c r="I17" s="123">
        <f t="shared" si="0"/>
      </c>
    </row>
    <row r="18" spans="1:9" s="100" customFormat="1" ht="16.5" thickBot="1">
      <c r="A18" s="464">
        <f>NOMINA2016!A18</f>
        <v>0</v>
      </c>
      <c r="B18" s="465"/>
      <c r="C18" s="466"/>
      <c r="D18" s="365" t="s">
        <v>90</v>
      </c>
      <c r="E18" s="362">
        <f>NOMINA2016!E18</f>
        <v>0</v>
      </c>
      <c r="F18" s="363" t="s">
        <v>405</v>
      </c>
      <c r="G18" s="364">
        <f>E18*$F$6</f>
        <v>0</v>
      </c>
      <c r="H18" s="356"/>
      <c r="I18" s="123">
        <f t="shared" si="0"/>
      </c>
    </row>
    <row r="19" spans="1:9" s="100" customFormat="1" ht="15.75">
      <c r="A19" s="344" t="s">
        <v>108</v>
      </c>
      <c r="B19" s="345"/>
      <c r="C19" s="363"/>
      <c r="D19" s="366"/>
      <c r="E19" s="366"/>
      <c r="F19" s="366"/>
      <c r="G19" s="396">
        <v>0</v>
      </c>
      <c r="H19" s="356"/>
      <c r="I19" s="99">
        <f t="shared" si="0"/>
        <v>0</v>
      </c>
    </row>
    <row r="20" spans="1:9" s="100" customFormat="1" ht="16.5" thickBot="1">
      <c r="A20" s="344" t="s">
        <v>109</v>
      </c>
      <c r="B20" s="345"/>
      <c r="C20" s="302"/>
      <c r="D20" s="367"/>
      <c r="E20" s="368"/>
      <c r="F20" s="368"/>
      <c r="G20" s="396">
        <v>0</v>
      </c>
      <c r="H20" s="356"/>
      <c r="I20" s="99"/>
    </row>
    <row r="21" spans="1:9" s="100" customFormat="1" ht="16.5" thickBot="1">
      <c r="A21" s="344" t="s">
        <v>110</v>
      </c>
      <c r="B21" s="345"/>
      <c r="C21" s="366"/>
      <c r="D21" s="366"/>
      <c r="E21" s="366"/>
      <c r="F21" s="366"/>
      <c r="G21" s="369"/>
      <c r="H21" s="310">
        <f>SUM(G11:G21)</f>
        <v>436.77</v>
      </c>
      <c r="I21" s="106"/>
    </row>
    <row r="22" spans="1:9" s="100" customFormat="1" ht="15.75">
      <c r="A22" s="344" t="s">
        <v>111</v>
      </c>
      <c r="B22" s="345"/>
      <c r="C22" s="302"/>
      <c r="D22" s="120"/>
      <c r="E22" s="120"/>
      <c r="F22" s="120"/>
      <c r="G22" s="120"/>
      <c r="H22" s="356"/>
      <c r="I22" s="99"/>
    </row>
    <row r="23" spans="1:9" s="100" customFormat="1" ht="15.75">
      <c r="A23" s="370" t="s">
        <v>112</v>
      </c>
      <c r="B23" s="371"/>
      <c r="C23" s="342"/>
      <c r="D23" s="372">
        <f>NOMINA2016!D23</f>
        <v>0</v>
      </c>
      <c r="E23" s="372">
        <f>NOMINA2016!E23</f>
        <v>0</v>
      </c>
      <c r="F23" s="372">
        <f>NOMINA2016!F23</f>
        <v>0</v>
      </c>
      <c r="G23" s="120"/>
      <c r="H23" s="373"/>
      <c r="I23" s="99"/>
    </row>
    <row r="24" spans="1:9" s="100" customFormat="1" ht="15.75">
      <c r="A24" s="444" t="s">
        <v>172</v>
      </c>
      <c r="B24" s="445"/>
      <c r="C24" s="443"/>
      <c r="D24" s="413"/>
      <c r="E24" s="413"/>
      <c r="F24" s="413"/>
      <c r="G24" s="132">
        <f>SUM(D24:F24)</f>
        <v>0</v>
      </c>
      <c r="H24" s="130"/>
      <c r="I24" s="99"/>
    </row>
    <row r="25" spans="1:9" s="100" customFormat="1" ht="16.5" thickBot="1">
      <c r="A25" s="444" t="s">
        <v>171</v>
      </c>
      <c r="B25" s="445"/>
      <c r="C25" s="443"/>
      <c r="D25" s="413"/>
      <c r="E25" s="413"/>
      <c r="F25" s="413"/>
      <c r="G25" s="132">
        <f>SUM(D25:F25)</f>
        <v>0</v>
      </c>
      <c r="H25" s="133"/>
      <c r="I25" s="99"/>
    </row>
    <row r="26" spans="1:9" s="100" customFormat="1" ht="16.5" thickBot="1">
      <c r="A26" s="444" t="s">
        <v>113</v>
      </c>
      <c r="B26" s="445"/>
      <c r="C26" s="443"/>
      <c r="D26" s="413">
        <v>0</v>
      </c>
      <c r="E26" s="413">
        <v>0</v>
      </c>
      <c r="F26" s="413"/>
      <c r="G26" s="132">
        <f>SUM(D26:F26)</f>
        <v>0</v>
      </c>
      <c r="H26" s="309">
        <f>SUM(G24:G26)</f>
        <v>0</v>
      </c>
      <c r="I26" s="99"/>
    </row>
    <row r="27" spans="1:9" s="100" customFormat="1" ht="15.75">
      <c r="A27" s="111" t="s">
        <v>114</v>
      </c>
      <c r="B27" s="112"/>
      <c r="C27" s="113"/>
      <c r="D27" s="112"/>
      <c r="E27" s="113"/>
      <c r="F27" s="109"/>
      <c r="G27" s="120"/>
      <c r="H27" s="130"/>
      <c r="I27" s="99"/>
    </row>
    <row r="28" spans="1:9" s="100" customFormat="1" ht="16.5" thickBot="1">
      <c r="A28" s="134" t="s">
        <v>115</v>
      </c>
      <c r="B28" s="135"/>
      <c r="C28" s="136" t="s">
        <v>116</v>
      </c>
      <c r="D28" s="375" t="s">
        <v>425</v>
      </c>
      <c r="E28" s="420">
        <v>1</v>
      </c>
      <c r="F28" s="127" t="s">
        <v>118</v>
      </c>
      <c r="G28" s="138"/>
      <c r="H28" s="130"/>
      <c r="I28" s="99"/>
    </row>
    <row r="29" spans="1:9" s="100" customFormat="1" ht="16.5" thickBot="1">
      <c r="A29" s="139">
        <f>'ANEXO ENF'!AH31</f>
        <v>441.77400000000006</v>
      </c>
      <c r="B29" s="140"/>
      <c r="C29" s="140">
        <f>'ANEXO ENF'!Z10</f>
        <v>471.2256000000001</v>
      </c>
      <c r="D29" s="141"/>
      <c r="E29" s="141">
        <f>F32*E28</f>
        <v>337.0003999999997</v>
      </c>
      <c r="F29" s="141">
        <v>0</v>
      </c>
      <c r="G29" s="132">
        <f>H29</f>
        <v>1249.9999999999998</v>
      </c>
      <c r="H29" s="309">
        <f>(A29+C29+E29+F29)</f>
        <v>1249.9999999999998</v>
      </c>
      <c r="I29" s="99"/>
    </row>
    <row r="30" spans="1:9" s="100" customFormat="1" ht="15.75">
      <c r="A30" s="194"/>
      <c r="B30" s="195"/>
      <c r="C30" s="199"/>
      <c r="D30" s="131">
        <f>NOMINA2016!H32</f>
        <v>2111.0699999999997</v>
      </c>
      <c r="E30" s="381">
        <f>NOMINA2016!G17+NOMINA2016!G18+NOMINA2016!G19+NOMINA2016!G20+NOMINA2016!H26</f>
        <v>488.77</v>
      </c>
      <c r="F30" s="381">
        <f>D30-E30</f>
        <v>1622.2999999999997</v>
      </c>
      <c r="G30" s="120"/>
      <c r="H30" s="130"/>
      <c r="I30" s="99"/>
    </row>
    <row r="31" spans="1:9" s="100" customFormat="1" ht="16.5" thickBot="1">
      <c r="A31" s="193" t="s">
        <v>119</v>
      </c>
      <c r="B31" s="197"/>
      <c r="C31" s="198"/>
      <c r="D31" s="131">
        <f>H21+H26+A29+C29</f>
        <v>1349.7696</v>
      </c>
      <c r="E31" s="381">
        <f>G17+G18+G19+G20</f>
        <v>64.47</v>
      </c>
      <c r="F31" s="131">
        <f>D31-E31</f>
        <v>1285.2996</v>
      </c>
      <c r="G31" s="122"/>
      <c r="H31" s="130"/>
      <c r="I31" s="99"/>
    </row>
    <row r="32" spans="1:9" s="107" customFormat="1" ht="16.5" thickBot="1">
      <c r="A32" s="104"/>
      <c r="B32" s="103"/>
      <c r="C32" s="200" t="s">
        <v>120</v>
      </c>
      <c r="D32" s="201"/>
      <c r="E32" s="200"/>
      <c r="F32" s="202">
        <f>F30-F31</f>
        <v>337.0003999999997</v>
      </c>
      <c r="G32" s="203"/>
      <c r="H32" s="310">
        <f>SUM(G11:G20)+H26+H29</f>
        <v>1686.7699999999998</v>
      </c>
      <c r="I32" s="106"/>
    </row>
    <row r="33" spans="1:9" s="100" customFormat="1" ht="15">
      <c r="A33" s="104"/>
      <c r="B33" s="103"/>
      <c r="C33" s="105"/>
      <c r="D33" s="147"/>
      <c r="E33" s="105"/>
      <c r="F33" s="103"/>
      <c r="G33" s="105"/>
      <c r="H33" s="130"/>
      <c r="I33" s="99"/>
    </row>
    <row r="34" spans="1:9" s="107" customFormat="1" ht="12.75">
      <c r="A34" s="104" t="s">
        <v>121</v>
      </c>
      <c r="B34" s="103"/>
      <c r="C34" s="105"/>
      <c r="D34" s="103"/>
      <c r="E34" s="105"/>
      <c r="F34" s="103"/>
      <c r="G34" s="105"/>
      <c r="H34" s="148"/>
      <c r="I34" s="106"/>
    </row>
    <row r="35" spans="1:9" s="107" customFormat="1" ht="12.75">
      <c r="A35" s="104" t="s">
        <v>122</v>
      </c>
      <c r="B35" s="103"/>
      <c r="C35" s="105"/>
      <c r="D35" s="147"/>
      <c r="E35" s="105"/>
      <c r="F35" s="103"/>
      <c r="G35" s="105"/>
      <c r="H35" s="149"/>
      <c r="I35" s="106"/>
    </row>
    <row r="36" spans="1:9" s="100" customFormat="1" ht="15">
      <c r="A36" s="111"/>
      <c r="B36" s="112"/>
      <c r="C36" s="113"/>
      <c r="D36" s="112"/>
      <c r="E36" s="150" t="s">
        <v>123</v>
      </c>
      <c r="F36" s="112"/>
      <c r="G36" s="113"/>
      <c r="H36" s="114"/>
      <c r="I36" s="99"/>
    </row>
    <row r="37" spans="1:9" s="100" customFormat="1" ht="15.75">
      <c r="A37" s="111" t="s">
        <v>124</v>
      </c>
      <c r="B37" s="112"/>
      <c r="C37" s="121"/>
      <c r="D37" s="183">
        <f>F61</f>
        <v>2114.6366666666668</v>
      </c>
      <c r="E37" s="152">
        <v>0.047</v>
      </c>
      <c r="F37" s="204"/>
      <c r="G37" s="144">
        <f>D37*E37</f>
        <v>99.38792333333333</v>
      </c>
      <c r="H37" s="110"/>
      <c r="I37" s="99"/>
    </row>
    <row r="38" spans="1:9" s="100" customFormat="1" ht="15.75">
      <c r="A38" s="111" t="s">
        <v>125</v>
      </c>
      <c r="B38" s="112"/>
      <c r="C38" s="124"/>
      <c r="D38" s="183">
        <f>F62</f>
        <v>2114.6366666666668</v>
      </c>
      <c r="E38" s="152">
        <v>0.0155</v>
      </c>
      <c r="F38" s="109"/>
      <c r="G38" s="144">
        <f>D38*E38</f>
        <v>32.77686833333333</v>
      </c>
      <c r="H38" s="110"/>
      <c r="I38" s="99"/>
    </row>
    <row r="39" spans="1:9" s="100" customFormat="1" ht="15.75">
      <c r="A39" s="111" t="s">
        <v>126</v>
      </c>
      <c r="B39" s="112"/>
      <c r="C39" s="124"/>
      <c r="D39" s="183">
        <f>F62</f>
        <v>2114.6366666666668</v>
      </c>
      <c r="E39" s="152">
        <v>0.001</v>
      </c>
      <c r="F39" s="109"/>
      <c r="G39" s="144">
        <f>D39*E39</f>
        <v>2.1146366666666667</v>
      </c>
      <c r="H39" s="110"/>
      <c r="I39" s="99"/>
    </row>
    <row r="40" spans="1:9" s="100" customFormat="1" ht="15.75">
      <c r="A40" s="111" t="s">
        <v>127</v>
      </c>
      <c r="B40" s="112"/>
      <c r="C40" s="113"/>
      <c r="D40" s="183">
        <f>G19</f>
        <v>0</v>
      </c>
      <c r="E40" s="152">
        <v>0.047</v>
      </c>
      <c r="F40" s="109"/>
      <c r="G40" s="144">
        <f>D40*E40</f>
        <v>0</v>
      </c>
      <c r="H40" s="110"/>
      <c r="I40" s="99"/>
    </row>
    <row r="41" spans="1:9" s="100" customFormat="1" ht="16.5" thickBot="1">
      <c r="A41" s="111" t="s">
        <v>128</v>
      </c>
      <c r="B41" s="112"/>
      <c r="C41" s="113"/>
      <c r="D41" s="183">
        <f>G20</f>
        <v>0</v>
      </c>
      <c r="E41" s="152">
        <v>0.02</v>
      </c>
      <c r="F41" s="109"/>
      <c r="G41" s="142">
        <f>D41*E41</f>
        <v>0</v>
      </c>
      <c r="H41" s="110"/>
      <c r="I41" s="99"/>
    </row>
    <row r="42" spans="1:9" s="107" customFormat="1" ht="16.5" thickBot="1">
      <c r="A42" s="104" t="s">
        <v>129</v>
      </c>
      <c r="B42" s="103"/>
      <c r="C42" s="145"/>
      <c r="D42" s="146"/>
      <c r="E42" s="153"/>
      <c r="F42" s="154"/>
      <c r="G42" s="206">
        <f>SUM(G37:G41)</f>
        <v>134.27942833333333</v>
      </c>
      <c r="H42" s="205"/>
      <c r="I42" s="106"/>
    </row>
    <row r="43" spans="1:9" s="100" customFormat="1" ht="16.5" thickBot="1">
      <c r="A43" s="108"/>
      <c r="B43" s="109"/>
      <c r="C43" s="109"/>
      <c r="D43" s="109"/>
      <c r="E43" s="120"/>
      <c r="F43" s="109"/>
      <c r="G43" s="120"/>
      <c r="H43" s="110"/>
      <c r="I43" s="99"/>
    </row>
    <row r="44" spans="1:9" s="100" customFormat="1" ht="16.5" thickBot="1">
      <c r="A44" s="111" t="s">
        <v>130</v>
      </c>
      <c r="B44" s="219" t="s">
        <v>158</v>
      </c>
      <c r="C44" s="220">
        <f>NOMINA2016!C44</f>
        <v>23039.12</v>
      </c>
      <c r="D44" s="221">
        <f>D68</f>
        <v>1686.7699999999998</v>
      </c>
      <c r="E44" s="152">
        <f>+IRPF2016!I41</f>
        <v>0.10455011351127992</v>
      </c>
      <c r="F44" s="109"/>
      <c r="G44" s="122">
        <f>D44*E44</f>
        <v>176.3519949674216</v>
      </c>
      <c r="H44" s="110"/>
      <c r="I44" s="99"/>
    </row>
    <row r="45" spans="1:9" s="100" customFormat="1" ht="15.75">
      <c r="A45" s="111" t="s">
        <v>131</v>
      </c>
      <c r="B45" s="109"/>
      <c r="C45" s="109"/>
      <c r="D45" s="109"/>
      <c r="E45" s="120"/>
      <c r="F45" s="109"/>
      <c r="G45" s="396">
        <v>0</v>
      </c>
      <c r="H45" s="110"/>
      <c r="I45" s="99"/>
    </row>
    <row r="46" spans="1:9" s="100" customFormat="1" ht="15.75">
      <c r="A46" s="111" t="s">
        <v>132</v>
      </c>
      <c r="B46" s="112"/>
      <c r="C46" s="113"/>
      <c r="D46" s="112"/>
      <c r="E46" s="120"/>
      <c r="F46" s="109"/>
      <c r="G46" s="396">
        <v>0</v>
      </c>
      <c r="H46" s="110"/>
      <c r="I46" s="99"/>
    </row>
    <row r="47" spans="1:9" s="100" customFormat="1" ht="15.75">
      <c r="A47" s="111" t="s">
        <v>133</v>
      </c>
      <c r="B47" s="112"/>
      <c r="C47" s="109"/>
      <c r="D47" s="109"/>
      <c r="E47" s="109"/>
      <c r="F47" s="109"/>
      <c r="G47" s="396">
        <v>0</v>
      </c>
      <c r="H47" s="110"/>
      <c r="I47" s="99"/>
    </row>
    <row r="48" spans="1:9" s="100" customFormat="1" ht="16.5" thickBot="1">
      <c r="A48" s="108"/>
      <c r="B48" s="109"/>
      <c r="C48" s="109"/>
      <c r="D48" s="109"/>
      <c r="E48" s="109"/>
      <c r="F48" s="109"/>
      <c r="G48" s="120"/>
      <c r="H48" s="110"/>
      <c r="I48" s="99"/>
    </row>
    <row r="49" spans="1:9" s="107" customFormat="1" ht="16.5" thickBot="1">
      <c r="A49" s="104"/>
      <c r="B49" s="103"/>
      <c r="C49" s="105" t="s">
        <v>134</v>
      </c>
      <c r="D49" s="103"/>
      <c r="E49" s="154"/>
      <c r="F49" s="154"/>
      <c r="G49" s="207">
        <f>G42+G44+G45+G46+G47</f>
        <v>310.63142330075493</v>
      </c>
      <c r="H49" s="205"/>
      <c r="I49" s="106"/>
    </row>
    <row r="50" spans="1:9" s="107" customFormat="1" ht="17.25" thickBot="1" thickTop="1">
      <c r="A50" s="104"/>
      <c r="B50" s="155" t="s">
        <v>135</v>
      </c>
      <c r="C50" s="105" t="s">
        <v>136</v>
      </c>
      <c r="D50" s="103"/>
      <c r="E50" s="105"/>
      <c r="F50" s="154"/>
      <c r="G50" s="154"/>
      <c r="H50" s="307">
        <f>H32-G49</f>
        <v>1376.1385766992448</v>
      </c>
      <c r="I50" s="106"/>
    </row>
    <row r="51" spans="1:9" s="100" customFormat="1" ht="15.75" thickTop="1">
      <c r="A51" s="111"/>
      <c r="B51" s="112"/>
      <c r="C51" s="113" t="s">
        <v>137</v>
      </c>
      <c r="D51" s="112"/>
      <c r="E51" s="113"/>
      <c r="F51" s="113" t="s">
        <v>138</v>
      </c>
      <c r="G51" s="113"/>
      <c r="H51" s="130" t="s">
        <v>139</v>
      </c>
      <c r="I51" s="99"/>
    </row>
    <row r="52" spans="1:9" s="100" customFormat="1" ht="15">
      <c r="A52" s="111"/>
      <c r="B52" s="112"/>
      <c r="C52" s="113"/>
      <c r="D52" s="112"/>
      <c r="E52" s="113"/>
      <c r="F52" s="112"/>
      <c r="G52" s="113"/>
      <c r="H52" s="148"/>
      <c r="I52" s="99"/>
    </row>
    <row r="53" spans="1:9" s="100" customFormat="1" ht="15.75" thickBot="1">
      <c r="A53" s="156"/>
      <c r="B53" s="157"/>
      <c r="C53" s="158"/>
      <c r="D53" s="157"/>
      <c r="E53" s="158"/>
      <c r="F53" s="157"/>
      <c r="G53" s="158"/>
      <c r="H53" s="159"/>
      <c r="I53" s="99"/>
    </row>
    <row r="54" spans="1:9" s="100" customFormat="1" ht="16.5" thickBot="1" thickTop="1">
      <c r="A54" s="191" t="s">
        <v>161</v>
      </c>
      <c r="B54" s="99"/>
      <c r="D54" s="99"/>
      <c r="F54" s="99"/>
      <c r="H54" s="99"/>
      <c r="I54" s="99"/>
    </row>
    <row r="55" spans="1:9" s="164" customFormat="1" ht="13.5" thickTop="1">
      <c r="A55" s="160" t="s">
        <v>140</v>
      </c>
      <c r="B55" s="161"/>
      <c r="C55" s="162"/>
      <c r="D55" s="161"/>
      <c r="E55" s="162"/>
      <c r="F55" s="161"/>
      <c r="G55" s="162"/>
      <c r="H55" s="179"/>
      <c r="I55" s="163"/>
    </row>
    <row r="56" spans="1:9" s="164" customFormat="1" ht="12.75">
      <c r="A56" s="104" t="s">
        <v>162</v>
      </c>
      <c r="B56" s="103"/>
      <c r="C56" s="105"/>
      <c r="D56" s="103"/>
      <c r="E56" s="105"/>
      <c r="F56" s="103"/>
      <c r="G56" s="105"/>
      <c r="H56" s="103"/>
      <c r="I56" s="188"/>
    </row>
    <row r="57" spans="1:9" s="100" customFormat="1" ht="15">
      <c r="A57" s="111"/>
      <c r="B57" s="180" t="s">
        <v>141</v>
      </c>
      <c r="C57" s="377" t="s">
        <v>428</v>
      </c>
      <c r="D57" s="180" t="s">
        <v>142</v>
      </c>
      <c r="E57" s="181" t="s">
        <v>143</v>
      </c>
      <c r="F57" s="182" t="s">
        <v>168</v>
      </c>
      <c r="G57" s="181" t="s">
        <v>169</v>
      </c>
      <c r="H57" s="186" t="s">
        <v>144</v>
      </c>
      <c r="I57" s="99"/>
    </row>
    <row r="58" spans="1:9" s="100" customFormat="1" ht="15.75">
      <c r="A58" s="376" t="s">
        <v>145</v>
      </c>
      <c r="B58" s="113"/>
      <c r="C58" s="113">
        <f>'ANEXO ENF'!A58</f>
        <v>25</v>
      </c>
      <c r="D58" s="437">
        <f>'ANEXO ENF'!O49</f>
        <v>1636.2000000000003</v>
      </c>
      <c r="E58" s="141">
        <f>'ANEXO ENF'!AH49</f>
        <v>1636.2000000000003</v>
      </c>
      <c r="F58" s="132"/>
      <c r="G58" s="141"/>
      <c r="H58" s="109"/>
      <c r="I58" s="171"/>
    </row>
    <row r="59" spans="1:9" s="100" customFormat="1" ht="15.75">
      <c r="A59" s="376" t="s">
        <v>426</v>
      </c>
      <c r="B59" s="113"/>
      <c r="C59" s="113">
        <f>E11</f>
        <v>5</v>
      </c>
      <c r="D59" s="187">
        <f>H21+H26-G19-G20</f>
        <v>436.77</v>
      </c>
      <c r="E59" s="131">
        <f>D59+G19+G20</f>
        <v>436.77</v>
      </c>
      <c r="F59" s="167"/>
      <c r="G59" s="131"/>
      <c r="H59" s="189"/>
      <c r="I59" s="171"/>
    </row>
    <row r="60" spans="1:9" s="100" customFormat="1" ht="15.75">
      <c r="A60" s="376" t="s">
        <v>427</v>
      </c>
      <c r="B60" s="113"/>
      <c r="C60" s="113">
        <f>E11</f>
        <v>5</v>
      </c>
      <c r="D60" s="168">
        <f>(NOMINA2016!D60*C60)/H6</f>
        <v>41.666666666666664</v>
      </c>
      <c r="E60" s="131">
        <f>D60</f>
        <v>41.666666666666664</v>
      </c>
      <c r="F60" s="151"/>
      <c r="G60" s="169"/>
      <c r="H60" s="165"/>
      <c r="I60" s="99"/>
    </row>
    <row r="61" spans="1:9" s="100" customFormat="1" ht="15.75">
      <c r="A61" s="217" t="s">
        <v>164</v>
      </c>
      <c r="B61" s="215" t="s">
        <v>166</v>
      </c>
      <c r="C61" s="216" t="s">
        <v>167</v>
      </c>
      <c r="D61" s="166">
        <f>SUM(D58:D60)</f>
        <v>2114.6366666666668</v>
      </c>
      <c r="E61" s="131"/>
      <c r="F61" s="183">
        <f>+IF(D61&gt;3642,3642,+D61)</f>
        <v>2114.6366666666668</v>
      </c>
      <c r="G61" s="185">
        <v>0.236</v>
      </c>
      <c r="H61" s="170">
        <f>F61*G61</f>
        <v>499.05425333333335</v>
      </c>
      <c r="I61" s="99"/>
    </row>
    <row r="62" spans="1:9" s="100" customFormat="1" ht="16.5" thickBot="1">
      <c r="A62" s="218">
        <f>NOMINA2016!A62</f>
        <v>87</v>
      </c>
      <c r="B62" s="214">
        <f>VLOOKUP(A62,Cnae!A3:E165,3,FALSE)</f>
        <v>0.008</v>
      </c>
      <c r="C62" s="214">
        <f>VLOOKUP(A62,Cnae!A3:E165,4,FALSE)</f>
        <v>0.006999999999999999</v>
      </c>
      <c r="D62" s="150" t="s">
        <v>148</v>
      </c>
      <c r="E62" s="131">
        <f>SUM(E58:E61)</f>
        <v>2114.6366666666668</v>
      </c>
      <c r="F62" s="183">
        <f>+IF(E62&gt;3642,3642,+E62)</f>
        <v>2114.6366666666668</v>
      </c>
      <c r="G62" s="213">
        <f>SUM(B62+C62)</f>
        <v>0.015</v>
      </c>
      <c r="H62" s="170">
        <f aca="true" t="shared" si="1" ref="H62:H67">F62*G62</f>
        <v>31.71955</v>
      </c>
      <c r="I62" s="99"/>
    </row>
    <row r="63" spans="1:9" s="100" customFormat="1" ht="15.75">
      <c r="A63" s="111" t="s">
        <v>149</v>
      </c>
      <c r="B63" s="112"/>
      <c r="C63" s="112"/>
      <c r="D63" s="190" t="s">
        <v>125</v>
      </c>
      <c r="E63" s="113"/>
      <c r="F63" s="183">
        <f>+IF(E62&gt;3642,3642,+E62)</f>
        <v>2114.6366666666668</v>
      </c>
      <c r="G63" s="185">
        <v>0.055</v>
      </c>
      <c r="H63" s="170">
        <f t="shared" si="1"/>
        <v>116.30501666666667</v>
      </c>
      <c r="I63" s="99"/>
    </row>
    <row r="64" spans="1:9" s="100" customFormat="1" ht="15.75">
      <c r="A64" s="111" t="s">
        <v>150</v>
      </c>
      <c r="B64" s="112"/>
      <c r="C64" s="112"/>
      <c r="D64" s="190" t="s">
        <v>126</v>
      </c>
      <c r="E64" s="113"/>
      <c r="F64" s="183">
        <f>+IF(E62&gt;3642,3642,+E62)</f>
        <v>2114.6366666666668</v>
      </c>
      <c r="G64" s="185">
        <v>0.006</v>
      </c>
      <c r="H64" s="170">
        <f t="shared" si="1"/>
        <v>12.68782</v>
      </c>
      <c r="I64" s="99"/>
    </row>
    <row r="65" spans="1:9" s="100" customFormat="1" ht="15.75">
      <c r="A65" s="171"/>
      <c r="B65" s="222" t="s">
        <v>170</v>
      </c>
      <c r="C65" s="112"/>
      <c r="D65" s="190" t="s">
        <v>151</v>
      </c>
      <c r="E65" s="113"/>
      <c r="F65" s="151">
        <f>+IF(E62&gt;3642,3642,+E62)</f>
        <v>2114.6366666666668</v>
      </c>
      <c r="G65" s="185">
        <v>0.002</v>
      </c>
      <c r="H65" s="170">
        <f t="shared" si="1"/>
        <v>4.229273333333333</v>
      </c>
      <c r="I65" s="99"/>
    </row>
    <row r="66" spans="1:9" s="100" customFormat="1" ht="15.75">
      <c r="A66" s="111" t="s">
        <v>152</v>
      </c>
      <c r="B66" s="112"/>
      <c r="C66" s="113"/>
      <c r="D66" s="112"/>
      <c r="E66" s="113" t="s">
        <v>153</v>
      </c>
      <c r="F66" s="183">
        <f>G19</f>
        <v>0</v>
      </c>
      <c r="G66" s="185">
        <v>0.236</v>
      </c>
      <c r="H66" s="170">
        <f t="shared" si="1"/>
        <v>0</v>
      </c>
      <c r="I66" s="99"/>
    </row>
    <row r="67" spans="1:9" s="100" customFormat="1" ht="16.5" thickBot="1">
      <c r="A67" s="111" t="s">
        <v>154</v>
      </c>
      <c r="B67" s="112"/>
      <c r="C67" s="113"/>
      <c r="D67" s="112"/>
      <c r="E67" s="113" t="s">
        <v>155</v>
      </c>
      <c r="F67" s="184">
        <f>G20</f>
        <v>0</v>
      </c>
      <c r="G67" s="185">
        <v>0.12</v>
      </c>
      <c r="H67" s="170">
        <f t="shared" si="1"/>
        <v>0</v>
      </c>
      <c r="I67" s="99"/>
    </row>
    <row r="68" spans="1:8" ht="17.25" thickBot="1" thickTop="1">
      <c r="A68" s="156" t="s">
        <v>157</v>
      </c>
      <c r="B68" s="172"/>
      <c r="C68" s="236"/>
      <c r="D68" s="421">
        <f>SUM(G11:G24,G29)+G26</f>
        <v>1686.7699999999998</v>
      </c>
      <c r="E68" s="237"/>
      <c r="F68" s="173"/>
      <c r="G68" s="178" t="s">
        <v>156</v>
      </c>
      <c r="H68" s="306">
        <f>SUM(H59:H67)</f>
        <v>663.9959133333334</v>
      </c>
    </row>
    <row r="69" spans="1:8" ht="16.5" thickTop="1">
      <c r="A69" s="113"/>
      <c r="B69" s="176"/>
      <c r="C69" s="175"/>
      <c r="D69" s="305"/>
      <c r="E69" s="175"/>
      <c r="F69" s="234"/>
      <c r="G69" s="223"/>
      <c r="H69" s="141"/>
    </row>
    <row r="70" ht="12.75"/>
    <row r="71" ht="12.75"/>
  </sheetData>
  <sheetProtection/>
  <mergeCells count="19">
    <mergeCell ref="A26:C26"/>
    <mergeCell ref="A17:C17"/>
    <mergeCell ref="A18:C18"/>
    <mergeCell ref="A24:C24"/>
    <mergeCell ref="A25:C25"/>
    <mergeCell ref="A6:B6"/>
    <mergeCell ref="E8:G8"/>
    <mergeCell ref="A11:C11"/>
    <mergeCell ref="A14:B14"/>
    <mergeCell ref="A15:B15"/>
    <mergeCell ref="A16:B16"/>
    <mergeCell ref="A12:B12"/>
    <mergeCell ref="A13:B13"/>
    <mergeCell ref="B4:C4"/>
    <mergeCell ref="B1:D1"/>
    <mergeCell ref="F1:H1"/>
    <mergeCell ref="B2:D2"/>
    <mergeCell ref="B3:C3"/>
    <mergeCell ref="E3:F3"/>
  </mergeCells>
  <dataValidations count="10">
    <dataValidation type="list" allowBlank="1" showInputMessage="1" showErrorMessage="1" sqref="C14:C16">
      <formula1>$L$4:$L$5</formula1>
    </dataValidation>
    <dataValidation type="list" allowBlank="1" showInputMessage="1" showErrorMessage="1" sqref="F7">
      <formula1>$L$1:$L$2</formula1>
    </dataValidation>
    <dataValidation type="list" allowBlank="1" showInputMessage="1" showErrorMessage="1" sqref="D6">
      <formula1>"AÑO,2000,2001,2002,2003,2004,2005,2006,2007,2008,2009,2010,2011,2012,2013,2014,2015,2016,2017,2018,2019,2020,"</formula1>
    </dataValidation>
    <dataValidation type="list" showInputMessage="1" showErrorMessage="1" sqref="E4">
      <formula1>"SEG. SOCIAL,1,2,3,4,5,6,7,8,9,10,11,"</formula1>
    </dataValidation>
    <dataValidation type="list" allowBlank="1" showInputMessage="1" showErrorMessage="1" sqref="E11">
      <formula1>"1,2,3,4,5,6,7,8,9,10,11,12,13,14,15,16,17,18,19,20,21,22,23,24,25,26,27,28,29,30,31,"</formula1>
    </dataValidation>
    <dataValidation type="list" allowBlank="1" showInputMessage="1" showErrorMessage="1" sqref="H3">
      <formula1>"M,D,"</formula1>
    </dataValidation>
    <dataValidation type="list" allowBlank="1" showInputMessage="1" showErrorMessage="1" sqref="H5">
      <formula1>"1,2,3,4,5,6,"</formula1>
    </dataValidation>
    <dataValidation type="list" allowBlank="1" showInputMessage="1" showErrorMessage="1" sqref="H6">
      <formula1>"DIARIO O MENSUAL,1,2,3,4,5,6,7,8,9,10,11,12,13,14,15,16,17,18,19,20,21,22,23,24,25,26,27,28,29,30,31,"</formula1>
    </dataValidation>
    <dataValidation type="list" allowBlank="1" showInputMessage="1" showErrorMessage="1" sqref="C6">
      <formula1>"MES DE PAGO,ENERO,FEBRERO,MARZO,ABRIL,MAYO,JUNIO,JULIO,AGOSTO,SEPTIEMBRE,OCTUBRE,NOVIEMBRE,DICIEMBRE,"</formula1>
    </dataValidation>
    <dataValidation type="list" allowBlank="1" showInputMessage="1" showErrorMessage="1" sqref="D14:D18">
      <formula1>"SI,NO"</formula1>
    </dataValidation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43"/>
  <sheetViews>
    <sheetView zoomScale="150" zoomScaleNormal="150" zoomScalePageLayoutView="0" workbookViewId="0" topLeftCell="A30">
      <selection activeCell="Q42" sqref="Q42"/>
    </sheetView>
  </sheetViews>
  <sheetFormatPr defaultColWidth="11.421875" defaultRowHeight="12.75"/>
  <cols>
    <col min="1" max="8" width="2.7109375" style="0" customWidth="1"/>
    <col min="10" max="18" width="2.7109375" style="0" customWidth="1"/>
    <col min="19" max="19" width="3.8515625" style="0" customWidth="1"/>
    <col min="20" max="37" width="2.7109375" style="0" customWidth="1"/>
    <col min="38" max="38" width="4.8515625" style="0" customWidth="1"/>
  </cols>
  <sheetData>
    <row r="1" ht="13.5" thickBot="1"/>
    <row r="2" spans="2:36" ht="23.25">
      <c r="B2" s="798" t="s">
        <v>429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800"/>
    </row>
    <row r="3" spans="2:36" ht="24" thickBot="1">
      <c r="B3" s="801" t="s">
        <v>430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3"/>
    </row>
    <row r="5" ht="12.75">
      <c r="B5" t="s">
        <v>431</v>
      </c>
    </row>
    <row r="6" spans="3:17" ht="13.5" thickBot="1">
      <c r="C6" s="267">
        <v>4</v>
      </c>
      <c r="Q6" s="267">
        <v>3</v>
      </c>
    </row>
    <row r="7" spans="2:33" ht="13.5" thickBot="1">
      <c r="B7" s="766" t="s">
        <v>453</v>
      </c>
      <c r="C7" s="767"/>
      <c r="D7" s="767"/>
      <c r="E7" s="767"/>
      <c r="F7" s="767"/>
      <c r="G7" s="768"/>
      <c r="H7" s="804" t="s">
        <v>454</v>
      </c>
      <c r="I7" s="805"/>
      <c r="J7" s="805"/>
      <c r="K7" s="805"/>
      <c r="L7" s="805"/>
      <c r="M7" s="806"/>
      <c r="P7" s="742" t="s">
        <v>432</v>
      </c>
      <c r="Q7" s="743"/>
      <c r="R7" s="743"/>
      <c r="S7" s="743"/>
      <c r="T7" s="743"/>
      <c r="U7" s="743"/>
      <c r="V7" s="743"/>
      <c r="W7" s="744"/>
      <c r="X7" s="748" t="s">
        <v>433</v>
      </c>
      <c r="Y7" s="749"/>
      <c r="Z7" s="749"/>
      <c r="AA7" s="749"/>
      <c r="AB7" s="750"/>
      <c r="AC7" s="748" t="s">
        <v>434</v>
      </c>
      <c r="AD7" s="749"/>
      <c r="AE7" s="749"/>
      <c r="AF7" s="749"/>
      <c r="AG7" s="750"/>
    </row>
    <row r="8" spans="2:33" ht="13.5" thickBot="1">
      <c r="B8" s="807">
        <v>42156</v>
      </c>
      <c r="C8" s="808"/>
      <c r="D8" s="808"/>
      <c r="E8" s="808"/>
      <c r="F8" s="808"/>
      <c r="G8" s="809"/>
      <c r="H8" s="779">
        <v>0</v>
      </c>
      <c r="I8" s="780"/>
      <c r="J8" s="780"/>
      <c r="K8" s="780"/>
      <c r="L8" s="780"/>
      <c r="M8" s="781"/>
      <c r="P8" s="745"/>
      <c r="Q8" s="746"/>
      <c r="R8" s="746"/>
      <c r="S8" s="746"/>
      <c r="T8" s="746"/>
      <c r="U8" s="746"/>
      <c r="V8" s="746"/>
      <c r="W8" s="747"/>
      <c r="X8" s="751"/>
      <c r="Y8" s="752"/>
      <c r="Z8" s="752"/>
      <c r="AA8" s="752"/>
      <c r="AB8" s="753"/>
      <c r="AC8" s="751"/>
      <c r="AD8" s="752"/>
      <c r="AE8" s="752"/>
      <c r="AF8" s="752"/>
      <c r="AG8" s="753"/>
    </row>
    <row r="9" spans="2:33" ht="13.5" thickBot="1">
      <c r="B9" s="776">
        <v>42216</v>
      </c>
      <c r="C9" s="777"/>
      <c r="D9" s="777"/>
      <c r="E9" s="777"/>
      <c r="F9" s="777"/>
      <c r="G9" s="778"/>
      <c r="H9" s="782">
        <v>0</v>
      </c>
      <c r="I9" s="782"/>
      <c r="J9" s="782"/>
      <c r="K9" s="782"/>
      <c r="L9" s="782"/>
      <c r="M9" s="782"/>
      <c r="P9" s="733">
        <f>NOMINA2016!D61</f>
        <v>1963.44</v>
      </c>
      <c r="Q9" s="728"/>
      <c r="R9" s="728"/>
      <c r="S9" s="728"/>
      <c r="T9" s="728"/>
      <c r="U9" s="728"/>
      <c r="V9" s="728"/>
      <c r="W9" s="729"/>
      <c r="X9" s="734">
        <v>30</v>
      </c>
      <c r="Y9" s="728"/>
      <c r="Z9" s="728"/>
      <c r="AA9" s="728"/>
      <c r="AB9" s="729"/>
      <c r="AC9" s="721">
        <f>P9/X9</f>
        <v>65.44800000000001</v>
      </c>
      <c r="AD9" s="722"/>
      <c r="AE9" s="722"/>
      <c r="AF9" s="722"/>
      <c r="AG9" s="723"/>
    </row>
    <row r="10" spans="2:33" ht="13.5" thickBot="1">
      <c r="B10" s="776">
        <v>42247</v>
      </c>
      <c r="C10" s="777"/>
      <c r="D10" s="777"/>
      <c r="E10" s="777"/>
      <c r="F10" s="777"/>
      <c r="G10" s="778"/>
      <c r="H10" s="782">
        <v>0</v>
      </c>
      <c r="I10" s="782"/>
      <c r="J10" s="782"/>
      <c r="K10" s="782"/>
      <c r="L10" s="782"/>
      <c r="M10" s="782"/>
      <c r="P10" s="730"/>
      <c r="Q10" s="731"/>
      <c r="R10" s="731"/>
      <c r="S10" s="731"/>
      <c r="T10" s="731"/>
      <c r="U10" s="731"/>
      <c r="V10" s="731"/>
      <c r="W10" s="732"/>
      <c r="X10" s="730"/>
      <c r="Y10" s="731"/>
      <c r="Z10" s="731"/>
      <c r="AA10" s="731"/>
      <c r="AB10" s="732"/>
      <c r="AC10" s="724"/>
      <c r="AD10" s="725"/>
      <c r="AE10" s="725"/>
      <c r="AF10" s="725"/>
      <c r="AG10" s="726"/>
    </row>
    <row r="11" spans="2:33" ht="13.5" thickBot="1">
      <c r="B11" s="776">
        <v>42277</v>
      </c>
      <c r="C11" s="777"/>
      <c r="D11" s="777"/>
      <c r="E11" s="777"/>
      <c r="F11" s="777"/>
      <c r="G11" s="778"/>
      <c r="H11" s="782">
        <v>0</v>
      </c>
      <c r="I11" s="782"/>
      <c r="J11" s="782"/>
      <c r="K11" s="782"/>
      <c r="L11" s="782"/>
      <c r="M11" s="782"/>
      <c r="P11" s="382"/>
      <c r="Q11" s="378">
        <v>5</v>
      </c>
      <c r="R11" s="382"/>
      <c r="S11" s="382"/>
      <c r="T11" s="382"/>
      <c r="U11" s="382"/>
      <c r="V11" s="382"/>
      <c r="W11" s="382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</row>
    <row r="12" spans="2:33" ht="13.5" thickBot="1">
      <c r="B12" s="776">
        <v>42308</v>
      </c>
      <c r="C12" s="777"/>
      <c r="D12" s="777"/>
      <c r="E12" s="777"/>
      <c r="F12" s="777"/>
      <c r="G12" s="778"/>
      <c r="H12" s="782">
        <v>0</v>
      </c>
      <c r="I12" s="782"/>
      <c r="J12" s="782"/>
      <c r="K12" s="782"/>
      <c r="L12" s="782"/>
      <c r="M12" s="782"/>
      <c r="P12" s="742" t="s">
        <v>435</v>
      </c>
      <c r="Q12" s="743"/>
      <c r="R12" s="743"/>
      <c r="S12" s="743"/>
      <c r="T12" s="743"/>
      <c r="U12" s="743"/>
      <c r="V12" s="743"/>
      <c r="W12" s="744"/>
      <c r="X12" s="748" t="s">
        <v>436</v>
      </c>
      <c r="Y12" s="749"/>
      <c r="Z12" s="749"/>
      <c r="AA12" s="749"/>
      <c r="AB12" s="750"/>
      <c r="AC12" s="748" t="s">
        <v>437</v>
      </c>
      <c r="AD12" s="749"/>
      <c r="AE12" s="749"/>
      <c r="AF12" s="749"/>
      <c r="AG12" s="750"/>
    </row>
    <row r="13" spans="2:33" ht="13.5" thickBot="1">
      <c r="B13" s="776">
        <v>42338</v>
      </c>
      <c r="C13" s="777"/>
      <c r="D13" s="777"/>
      <c r="E13" s="777"/>
      <c r="F13" s="777"/>
      <c r="G13" s="778"/>
      <c r="H13" s="782">
        <v>0</v>
      </c>
      <c r="I13" s="782"/>
      <c r="J13" s="782"/>
      <c r="K13" s="782"/>
      <c r="L13" s="782"/>
      <c r="M13" s="782"/>
      <c r="P13" s="745"/>
      <c r="Q13" s="746"/>
      <c r="R13" s="746"/>
      <c r="S13" s="746"/>
      <c r="T13" s="746"/>
      <c r="U13" s="746"/>
      <c r="V13" s="746"/>
      <c r="W13" s="747"/>
      <c r="X13" s="751"/>
      <c r="Y13" s="752"/>
      <c r="Z13" s="752"/>
      <c r="AA13" s="752"/>
      <c r="AB13" s="753"/>
      <c r="AC13" s="751"/>
      <c r="AD13" s="752"/>
      <c r="AE13" s="752"/>
      <c r="AF13" s="752"/>
      <c r="AG13" s="753"/>
    </row>
    <row r="14" spans="2:33" ht="13.5" thickBot="1">
      <c r="B14" s="776">
        <v>42369</v>
      </c>
      <c r="C14" s="777"/>
      <c r="D14" s="777"/>
      <c r="E14" s="777"/>
      <c r="F14" s="777"/>
      <c r="G14" s="778"/>
      <c r="H14" s="782">
        <v>0</v>
      </c>
      <c r="I14" s="782"/>
      <c r="J14" s="782"/>
      <c r="K14" s="782"/>
      <c r="L14" s="782"/>
      <c r="M14" s="782"/>
      <c r="P14" s="792">
        <f>H20</f>
        <v>157.6</v>
      </c>
      <c r="Q14" s="793"/>
      <c r="R14" s="793"/>
      <c r="S14" s="793"/>
      <c r="T14" s="793"/>
      <c r="U14" s="793"/>
      <c r="V14" s="793"/>
      <c r="W14" s="794"/>
      <c r="X14" s="734" t="s">
        <v>455</v>
      </c>
      <c r="Y14" s="728"/>
      <c r="Z14" s="728"/>
      <c r="AA14" s="728"/>
      <c r="AB14" s="729"/>
      <c r="AC14" s="786">
        <f>IF(NOMINA2016!H3="M",P14/360,IF(NOMINA2016!H3="D",P14/365))</f>
        <v>0.43777777777777777</v>
      </c>
      <c r="AD14" s="787"/>
      <c r="AE14" s="787"/>
      <c r="AF14" s="787"/>
      <c r="AG14" s="788"/>
    </row>
    <row r="15" spans="2:33" ht="13.5" thickBot="1">
      <c r="B15" s="776">
        <v>42400</v>
      </c>
      <c r="C15" s="777"/>
      <c r="D15" s="777"/>
      <c r="E15" s="777"/>
      <c r="F15" s="777"/>
      <c r="G15" s="778"/>
      <c r="H15" s="782">
        <v>0</v>
      </c>
      <c r="I15" s="782"/>
      <c r="J15" s="782"/>
      <c r="K15" s="782"/>
      <c r="L15" s="782"/>
      <c r="M15" s="782"/>
      <c r="P15" s="795"/>
      <c r="Q15" s="796"/>
      <c r="R15" s="796"/>
      <c r="S15" s="796"/>
      <c r="T15" s="796"/>
      <c r="U15" s="796"/>
      <c r="V15" s="796"/>
      <c r="W15" s="797"/>
      <c r="X15" s="730"/>
      <c r="Y15" s="731"/>
      <c r="Z15" s="731"/>
      <c r="AA15" s="731"/>
      <c r="AB15" s="732"/>
      <c r="AC15" s="789"/>
      <c r="AD15" s="790"/>
      <c r="AE15" s="790"/>
      <c r="AF15" s="790"/>
      <c r="AG15" s="791"/>
    </row>
    <row r="16" spans="2:33" ht="13.5" thickBot="1">
      <c r="B16" s="776">
        <v>42429</v>
      </c>
      <c r="C16" s="777"/>
      <c r="D16" s="777"/>
      <c r="E16" s="777"/>
      <c r="F16" s="777"/>
      <c r="G16" s="778"/>
      <c r="H16" s="782">
        <v>0</v>
      </c>
      <c r="I16" s="782"/>
      <c r="J16" s="782"/>
      <c r="K16" s="782"/>
      <c r="L16" s="782"/>
      <c r="M16" s="782"/>
      <c r="P16" s="382"/>
      <c r="Q16" s="378">
        <v>6</v>
      </c>
      <c r="R16" s="382"/>
      <c r="S16" s="382"/>
      <c r="T16" s="382"/>
      <c r="U16" s="382"/>
      <c r="V16" s="382"/>
      <c r="W16" s="382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</row>
    <row r="17" spans="2:33" ht="13.5" thickBot="1">
      <c r="B17" s="776">
        <v>42460</v>
      </c>
      <c r="C17" s="777"/>
      <c r="D17" s="777"/>
      <c r="E17" s="777"/>
      <c r="F17" s="777"/>
      <c r="G17" s="778"/>
      <c r="H17" s="782">
        <v>0</v>
      </c>
      <c r="I17" s="782"/>
      <c r="J17" s="782"/>
      <c r="K17" s="782"/>
      <c r="L17" s="782"/>
      <c r="M17" s="782"/>
      <c r="P17" s="783" t="s">
        <v>438</v>
      </c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1"/>
    </row>
    <row r="18" spans="2:33" ht="13.5" thickBot="1">
      <c r="B18" s="776">
        <v>42490</v>
      </c>
      <c r="C18" s="777"/>
      <c r="D18" s="777"/>
      <c r="E18" s="777"/>
      <c r="F18" s="777"/>
      <c r="G18" s="778"/>
      <c r="H18" s="782">
        <v>0</v>
      </c>
      <c r="I18" s="782"/>
      <c r="J18" s="782"/>
      <c r="K18" s="782"/>
      <c r="L18" s="782"/>
      <c r="M18" s="782"/>
      <c r="P18" s="784"/>
      <c r="Q18" s="785"/>
      <c r="R18" s="785"/>
      <c r="S18" s="785"/>
      <c r="T18" s="785"/>
      <c r="U18" s="785"/>
      <c r="V18" s="785"/>
      <c r="W18" s="785"/>
      <c r="X18" s="583"/>
      <c r="Y18" s="583"/>
      <c r="Z18" s="583"/>
      <c r="AA18" s="583"/>
      <c r="AB18" s="583"/>
      <c r="AC18" s="583"/>
      <c r="AD18" s="583"/>
      <c r="AE18" s="583"/>
      <c r="AF18" s="583"/>
      <c r="AG18" s="584"/>
    </row>
    <row r="19" spans="2:33" ht="13.5" thickBot="1">
      <c r="B19" s="776">
        <v>42491</v>
      </c>
      <c r="C19" s="777"/>
      <c r="D19" s="777"/>
      <c r="E19" s="777"/>
      <c r="F19" s="777"/>
      <c r="G19" s="778"/>
      <c r="H19" s="779">
        <v>157.6</v>
      </c>
      <c r="I19" s="780"/>
      <c r="J19" s="780"/>
      <c r="K19" s="780"/>
      <c r="L19" s="780"/>
      <c r="M19" s="781"/>
      <c r="P19" s="766" t="s">
        <v>439</v>
      </c>
      <c r="Q19" s="767"/>
      <c r="R19" s="767"/>
      <c r="S19" s="767"/>
      <c r="T19" s="767"/>
      <c r="U19" s="767"/>
      <c r="V19" s="767"/>
      <c r="W19" s="768"/>
      <c r="X19" s="748" t="s">
        <v>440</v>
      </c>
      <c r="Y19" s="749"/>
      <c r="Z19" s="749"/>
      <c r="AA19" s="749"/>
      <c r="AB19" s="749"/>
      <c r="AC19" s="750"/>
      <c r="AD19" s="748" t="s">
        <v>441</v>
      </c>
      <c r="AE19" s="749"/>
      <c r="AF19" s="749"/>
      <c r="AG19" s="750"/>
    </row>
    <row r="20" spans="2:33" ht="13.5" thickBot="1">
      <c r="B20" s="392"/>
      <c r="C20" s="392"/>
      <c r="D20" s="392"/>
      <c r="E20" s="392"/>
      <c r="F20" s="392"/>
      <c r="G20" s="393"/>
      <c r="H20" s="760">
        <f>SUM(H8:M19)</f>
        <v>157.6</v>
      </c>
      <c r="I20" s="761"/>
      <c r="J20" s="761"/>
      <c r="K20" s="761"/>
      <c r="L20" s="761"/>
      <c r="M20" s="762"/>
      <c r="P20" s="766" t="s">
        <v>442</v>
      </c>
      <c r="Q20" s="767"/>
      <c r="R20" s="767"/>
      <c r="S20" s="768"/>
      <c r="T20" s="766" t="s">
        <v>443</v>
      </c>
      <c r="U20" s="767"/>
      <c r="V20" s="767"/>
      <c r="W20" s="768"/>
      <c r="X20" s="751"/>
      <c r="Y20" s="752"/>
      <c r="Z20" s="752"/>
      <c r="AA20" s="752"/>
      <c r="AB20" s="752"/>
      <c r="AC20" s="753"/>
      <c r="AD20" s="751"/>
      <c r="AE20" s="752"/>
      <c r="AF20" s="752"/>
      <c r="AG20" s="753"/>
    </row>
    <row r="21" spans="2:33" ht="13.5" thickBot="1">
      <c r="B21" s="394"/>
      <c r="C21" s="394"/>
      <c r="D21" s="394"/>
      <c r="E21" s="394"/>
      <c r="F21" s="394"/>
      <c r="G21" s="395"/>
      <c r="H21" s="763"/>
      <c r="I21" s="764"/>
      <c r="J21" s="764"/>
      <c r="K21" s="764"/>
      <c r="L21" s="764"/>
      <c r="M21" s="765"/>
      <c r="P21" s="769">
        <f>AC9</f>
        <v>65.44800000000001</v>
      </c>
      <c r="Q21" s="770"/>
      <c r="R21" s="770"/>
      <c r="S21" s="771"/>
      <c r="T21" s="775">
        <f>AC14</f>
        <v>0.43777777777777777</v>
      </c>
      <c r="U21" s="755"/>
      <c r="V21" s="755"/>
      <c r="W21" s="756"/>
      <c r="X21" s="754">
        <f>P21+T21</f>
        <v>65.88577777777779</v>
      </c>
      <c r="Y21" s="755"/>
      <c r="Z21" s="755"/>
      <c r="AA21" s="755"/>
      <c r="AB21" s="755"/>
      <c r="AC21" s="756"/>
      <c r="AD21" s="754">
        <f>X21*75%</f>
        <v>49.414333333333346</v>
      </c>
      <c r="AE21" s="755"/>
      <c r="AF21" s="755"/>
      <c r="AG21" s="756"/>
    </row>
    <row r="22" spans="9:33" ht="13.5" thickBot="1">
      <c r="I22" s="389"/>
      <c r="P22" s="772"/>
      <c r="Q22" s="773"/>
      <c r="R22" s="773"/>
      <c r="S22" s="774"/>
      <c r="T22" s="757"/>
      <c r="U22" s="758"/>
      <c r="V22" s="758"/>
      <c r="W22" s="759"/>
      <c r="X22" s="757"/>
      <c r="Y22" s="758"/>
      <c r="Z22" s="758"/>
      <c r="AA22" s="758"/>
      <c r="AB22" s="758"/>
      <c r="AC22" s="759"/>
      <c r="AD22" s="757"/>
      <c r="AE22" s="758"/>
      <c r="AF22" s="758"/>
      <c r="AG22" s="759"/>
    </row>
    <row r="23" spans="9:33" ht="12.75">
      <c r="I23" s="390"/>
      <c r="X23" s="748" t="s">
        <v>444</v>
      </c>
      <c r="Y23" s="749"/>
      <c r="Z23" s="749"/>
      <c r="AA23" s="750"/>
      <c r="AB23" s="748" t="s">
        <v>445</v>
      </c>
      <c r="AC23" s="749"/>
      <c r="AD23" s="749"/>
      <c r="AE23" s="749"/>
      <c r="AF23" s="749"/>
      <c r="AG23" s="750"/>
    </row>
    <row r="24" spans="3:33" ht="13.5" thickBot="1">
      <c r="C24" s="233"/>
      <c r="I24" s="390"/>
      <c r="X24" s="751"/>
      <c r="Y24" s="752"/>
      <c r="Z24" s="752"/>
      <c r="AA24" s="753"/>
      <c r="AB24" s="751"/>
      <c r="AC24" s="752"/>
      <c r="AD24" s="752"/>
      <c r="AE24" s="752"/>
      <c r="AF24" s="752"/>
      <c r="AG24" s="753"/>
    </row>
    <row r="25" spans="9:33" ht="12.75">
      <c r="I25" s="390"/>
      <c r="X25" s="735">
        <f>J42</f>
        <v>14</v>
      </c>
      <c r="Y25" s="736"/>
      <c r="Z25" s="736"/>
      <c r="AA25" s="737"/>
      <c r="AB25" s="754">
        <f>(X25)*AD21</f>
        <v>691.8006666666669</v>
      </c>
      <c r="AC25" s="755"/>
      <c r="AD25" s="755"/>
      <c r="AE25" s="755"/>
      <c r="AF25" s="755"/>
      <c r="AG25" s="756"/>
    </row>
    <row r="26" spans="1:33" ht="13.5" thickBot="1">
      <c r="A26" s="708" t="s">
        <v>473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8"/>
      <c r="T26" s="708"/>
      <c r="U26" s="708"/>
      <c r="V26" s="708"/>
      <c r="W26" s="267">
        <v>7</v>
      </c>
      <c r="X26" s="738"/>
      <c r="Y26" s="739"/>
      <c r="Z26" s="739"/>
      <c r="AA26" s="740"/>
      <c r="AB26" s="757"/>
      <c r="AC26" s="758"/>
      <c r="AD26" s="758"/>
      <c r="AE26" s="758"/>
      <c r="AF26" s="758"/>
      <c r="AG26" s="759"/>
    </row>
    <row r="27" spans="3:33" ht="15.75" thickBot="1">
      <c r="C27" s="267">
        <v>1</v>
      </c>
      <c r="I27" s="391"/>
      <c r="V27" s="267">
        <v>2</v>
      </c>
      <c r="X27" s="384"/>
      <c r="Y27" s="384"/>
      <c r="Z27" s="384"/>
      <c r="AA27" s="384"/>
      <c r="AB27" s="385"/>
      <c r="AC27" s="385"/>
      <c r="AD27" s="385"/>
      <c r="AE27" s="385"/>
      <c r="AF27" s="385"/>
      <c r="AG27" s="385"/>
    </row>
    <row r="28" spans="2:38" ht="12.75">
      <c r="B28" s="579" t="s">
        <v>446</v>
      </c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  <c r="R28" s="580"/>
      <c r="S28" s="581"/>
      <c r="U28" s="579" t="s">
        <v>447</v>
      </c>
      <c r="V28" s="580"/>
      <c r="W28" s="580"/>
      <c r="X28" s="580"/>
      <c r="Y28" s="580"/>
      <c r="Z28" s="580"/>
      <c r="AA28" s="580"/>
      <c r="AB28" s="580"/>
      <c r="AC28" s="580"/>
      <c r="AD28" s="580"/>
      <c r="AE28" s="580"/>
      <c r="AF28" s="580"/>
      <c r="AG28" s="580"/>
      <c r="AH28" s="580"/>
      <c r="AI28" s="580"/>
      <c r="AJ28" s="580"/>
      <c r="AK28" s="580"/>
      <c r="AL28" s="581"/>
    </row>
    <row r="29" spans="2:38" ht="13.5" thickBot="1">
      <c r="B29" s="582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4"/>
      <c r="U29" s="582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4"/>
    </row>
    <row r="30" spans="2:38" ht="12.75">
      <c r="B30" s="742" t="s">
        <v>432</v>
      </c>
      <c r="C30" s="743"/>
      <c r="D30" s="743"/>
      <c r="E30" s="743"/>
      <c r="F30" s="743"/>
      <c r="G30" s="743"/>
      <c r="H30" s="743"/>
      <c r="I30" s="744"/>
      <c r="J30" s="748" t="s">
        <v>448</v>
      </c>
      <c r="K30" s="749"/>
      <c r="L30" s="749"/>
      <c r="M30" s="749"/>
      <c r="N30" s="750"/>
      <c r="O30" s="748" t="s">
        <v>377</v>
      </c>
      <c r="P30" s="749"/>
      <c r="Q30" s="749"/>
      <c r="R30" s="749"/>
      <c r="S30" s="750"/>
      <c r="U30" s="742" t="s">
        <v>432</v>
      </c>
      <c r="V30" s="743"/>
      <c r="W30" s="743"/>
      <c r="X30" s="743"/>
      <c r="Y30" s="743"/>
      <c r="Z30" s="743"/>
      <c r="AA30" s="743"/>
      <c r="AB30" s="744"/>
      <c r="AC30" s="748" t="s">
        <v>448</v>
      </c>
      <c r="AD30" s="749"/>
      <c r="AE30" s="749"/>
      <c r="AF30" s="749"/>
      <c r="AG30" s="750"/>
      <c r="AH30" s="748" t="s">
        <v>377</v>
      </c>
      <c r="AI30" s="749"/>
      <c r="AJ30" s="749"/>
      <c r="AK30" s="749"/>
      <c r="AL30" s="750"/>
    </row>
    <row r="31" spans="2:38" ht="13.5" thickBot="1">
      <c r="B31" s="745"/>
      <c r="C31" s="746"/>
      <c r="D31" s="746"/>
      <c r="E31" s="746"/>
      <c r="F31" s="746"/>
      <c r="G31" s="746"/>
      <c r="H31" s="746"/>
      <c r="I31" s="747"/>
      <c r="J31" s="751"/>
      <c r="K31" s="752"/>
      <c r="L31" s="752"/>
      <c r="M31" s="752"/>
      <c r="N31" s="753"/>
      <c r="O31" s="751"/>
      <c r="P31" s="752"/>
      <c r="Q31" s="752"/>
      <c r="R31" s="752"/>
      <c r="S31" s="753"/>
      <c r="U31" s="745"/>
      <c r="V31" s="746"/>
      <c r="W31" s="746"/>
      <c r="X31" s="746"/>
      <c r="Y31" s="746"/>
      <c r="Z31" s="746"/>
      <c r="AA31" s="746"/>
      <c r="AB31" s="747"/>
      <c r="AC31" s="751"/>
      <c r="AD31" s="752"/>
      <c r="AE31" s="752"/>
      <c r="AF31" s="752"/>
      <c r="AG31" s="753"/>
      <c r="AH31" s="751"/>
      <c r="AI31" s="752"/>
      <c r="AJ31" s="752"/>
      <c r="AK31" s="752"/>
      <c r="AL31" s="753"/>
    </row>
    <row r="32" spans="2:38" ht="12.75">
      <c r="B32" s="733">
        <f>NOMINA2016!D61</f>
        <v>1963.44</v>
      </c>
      <c r="C32" s="728"/>
      <c r="D32" s="728"/>
      <c r="E32" s="728"/>
      <c r="F32" s="728"/>
      <c r="G32" s="728"/>
      <c r="H32" s="728"/>
      <c r="I32" s="729"/>
      <c r="J32" s="734">
        <v>30</v>
      </c>
      <c r="K32" s="728"/>
      <c r="L32" s="728"/>
      <c r="M32" s="728"/>
      <c r="N32" s="729"/>
      <c r="O32" s="721">
        <f>B32/J32</f>
        <v>65.44800000000001</v>
      </c>
      <c r="P32" s="722"/>
      <c r="Q32" s="722"/>
      <c r="R32" s="722"/>
      <c r="S32" s="723"/>
      <c r="T32">
        <v>0</v>
      </c>
      <c r="U32" s="733">
        <f>NOMINA2016!E62</f>
        <v>2121.04</v>
      </c>
      <c r="V32" s="728"/>
      <c r="W32" s="728"/>
      <c r="X32" s="728"/>
      <c r="Y32" s="728"/>
      <c r="Z32" s="728"/>
      <c r="AA32" s="728"/>
      <c r="AB32" s="729"/>
      <c r="AC32" s="734">
        <v>30</v>
      </c>
      <c r="AD32" s="728"/>
      <c r="AE32" s="728"/>
      <c r="AF32" s="728"/>
      <c r="AG32" s="729"/>
      <c r="AH32" s="721">
        <f>U32/AC32</f>
        <v>70.70133333333334</v>
      </c>
      <c r="AI32" s="722"/>
      <c r="AJ32" s="722"/>
      <c r="AK32" s="722"/>
      <c r="AL32" s="723"/>
    </row>
    <row r="33" spans="2:38" ht="13.5" thickBot="1">
      <c r="B33" s="730"/>
      <c r="C33" s="731"/>
      <c r="D33" s="731"/>
      <c r="E33" s="731"/>
      <c r="F33" s="731"/>
      <c r="G33" s="731"/>
      <c r="H33" s="731"/>
      <c r="I33" s="732"/>
      <c r="J33" s="730"/>
      <c r="K33" s="731"/>
      <c r="L33" s="731"/>
      <c r="M33" s="731"/>
      <c r="N33" s="732"/>
      <c r="O33" s="724"/>
      <c r="P33" s="725"/>
      <c r="Q33" s="725"/>
      <c r="R33" s="725"/>
      <c r="S33" s="726"/>
      <c r="U33" s="730"/>
      <c r="V33" s="731"/>
      <c r="W33" s="731"/>
      <c r="X33" s="731"/>
      <c r="Y33" s="731"/>
      <c r="Z33" s="731"/>
      <c r="AA33" s="731"/>
      <c r="AB33" s="732"/>
      <c r="AC33" s="730"/>
      <c r="AD33" s="731"/>
      <c r="AE33" s="731"/>
      <c r="AF33" s="731"/>
      <c r="AG33" s="732"/>
      <c r="AH33" s="724"/>
      <c r="AI33" s="725"/>
      <c r="AJ33" s="725"/>
      <c r="AK33" s="725"/>
      <c r="AL33" s="726"/>
    </row>
    <row r="34" spans="3:22" ht="13.5" thickBot="1">
      <c r="C34" s="267">
        <v>8</v>
      </c>
      <c r="V34" s="267">
        <v>9</v>
      </c>
    </row>
    <row r="35" spans="2:38" ht="12.75">
      <c r="B35" s="579" t="s">
        <v>449</v>
      </c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1"/>
      <c r="U35" s="579" t="s">
        <v>450</v>
      </c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  <c r="AG35" s="580"/>
      <c r="AH35" s="580"/>
      <c r="AI35" s="580"/>
      <c r="AJ35" s="580"/>
      <c r="AK35" s="580"/>
      <c r="AL35" s="581"/>
    </row>
    <row r="36" spans="2:38" ht="13.5" thickBot="1">
      <c r="B36" s="582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4"/>
      <c r="U36" s="582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3"/>
      <c r="AI36" s="583"/>
      <c r="AJ36" s="583"/>
      <c r="AK36" s="583"/>
      <c r="AL36" s="584"/>
    </row>
    <row r="37" spans="2:38" ht="12.75">
      <c r="B37" s="742" t="s">
        <v>377</v>
      </c>
      <c r="C37" s="743"/>
      <c r="D37" s="743"/>
      <c r="E37" s="743"/>
      <c r="F37" s="743"/>
      <c r="G37" s="743"/>
      <c r="H37" s="743"/>
      <c r="I37" s="744"/>
      <c r="J37" s="748" t="s">
        <v>451</v>
      </c>
      <c r="K37" s="749"/>
      <c r="L37" s="749"/>
      <c r="M37" s="749"/>
      <c r="N37" s="750"/>
      <c r="O37" s="748" t="s">
        <v>452</v>
      </c>
      <c r="P37" s="749"/>
      <c r="Q37" s="749"/>
      <c r="R37" s="749"/>
      <c r="S37" s="750"/>
      <c r="U37" s="742" t="s">
        <v>377</v>
      </c>
      <c r="V37" s="743"/>
      <c r="W37" s="743"/>
      <c r="X37" s="743"/>
      <c r="Y37" s="743"/>
      <c r="Z37" s="743"/>
      <c r="AA37" s="743"/>
      <c r="AB37" s="744"/>
      <c r="AC37" s="748" t="s">
        <v>451</v>
      </c>
      <c r="AD37" s="749"/>
      <c r="AE37" s="749"/>
      <c r="AF37" s="749"/>
      <c r="AG37" s="750"/>
      <c r="AH37" s="748" t="s">
        <v>452</v>
      </c>
      <c r="AI37" s="749"/>
      <c r="AJ37" s="749"/>
      <c r="AK37" s="749"/>
      <c r="AL37" s="750"/>
    </row>
    <row r="38" spans="2:38" ht="13.5" thickBot="1">
      <c r="B38" s="745"/>
      <c r="C38" s="746"/>
      <c r="D38" s="746"/>
      <c r="E38" s="746"/>
      <c r="F38" s="746"/>
      <c r="G38" s="746"/>
      <c r="H38" s="746"/>
      <c r="I38" s="747"/>
      <c r="J38" s="751"/>
      <c r="K38" s="752"/>
      <c r="L38" s="752"/>
      <c r="M38" s="752"/>
      <c r="N38" s="753"/>
      <c r="O38" s="751"/>
      <c r="P38" s="752"/>
      <c r="Q38" s="752"/>
      <c r="R38" s="752"/>
      <c r="S38" s="753"/>
      <c r="U38" s="745"/>
      <c r="V38" s="746"/>
      <c r="W38" s="746"/>
      <c r="X38" s="746"/>
      <c r="Y38" s="746"/>
      <c r="Z38" s="746"/>
      <c r="AA38" s="746"/>
      <c r="AB38" s="747"/>
      <c r="AC38" s="751"/>
      <c r="AD38" s="752"/>
      <c r="AE38" s="752"/>
      <c r="AF38" s="752"/>
      <c r="AG38" s="753"/>
      <c r="AH38" s="751"/>
      <c r="AI38" s="752"/>
      <c r="AJ38" s="752"/>
      <c r="AK38" s="752"/>
      <c r="AL38" s="753"/>
    </row>
    <row r="39" spans="2:38" ht="12.75">
      <c r="B39" s="709">
        <f>O32</f>
        <v>65.44800000000001</v>
      </c>
      <c r="C39" s="710"/>
      <c r="D39" s="710"/>
      <c r="E39" s="710"/>
      <c r="F39" s="710"/>
      <c r="G39" s="710"/>
      <c r="H39" s="710"/>
      <c r="I39" s="711"/>
      <c r="J39" s="715">
        <f>X25</f>
        <v>14</v>
      </c>
      <c r="K39" s="716"/>
      <c r="L39" s="716"/>
      <c r="M39" s="716"/>
      <c r="N39" s="717"/>
      <c r="O39" s="721">
        <f>B39*J39</f>
        <v>916.2720000000002</v>
      </c>
      <c r="P39" s="722"/>
      <c r="Q39" s="722"/>
      <c r="R39" s="722"/>
      <c r="S39" s="723"/>
      <c r="U39" s="727">
        <f>X21</f>
        <v>65.88577777777779</v>
      </c>
      <c r="V39" s="728"/>
      <c r="W39" s="728"/>
      <c r="X39" s="728"/>
      <c r="Y39" s="728"/>
      <c r="Z39" s="728"/>
      <c r="AA39" s="728"/>
      <c r="AB39" s="729"/>
      <c r="AC39" s="741">
        <f>X25</f>
        <v>14</v>
      </c>
      <c r="AD39" s="728"/>
      <c r="AE39" s="728"/>
      <c r="AF39" s="728"/>
      <c r="AG39" s="729"/>
      <c r="AH39" s="721">
        <f>U39*AC39</f>
        <v>922.4008888888891</v>
      </c>
      <c r="AI39" s="722"/>
      <c r="AJ39" s="722"/>
      <c r="AK39" s="722"/>
      <c r="AL39" s="723"/>
    </row>
    <row r="40" spans="2:38" ht="13.5" thickBot="1">
      <c r="B40" s="712"/>
      <c r="C40" s="713"/>
      <c r="D40" s="713"/>
      <c r="E40" s="713"/>
      <c r="F40" s="713"/>
      <c r="G40" s="713"/>
      <c r="H40" s="713"/>
      <c r="I40" s="714"/>
      <c r="J40" s="718"/>
      <c r="K40" s="719"/>
      <c r="L40" s="719"/>
      <c r="M40" s="719"/>
      <c r="N40" s="720"/>
      <c r="O40" s="724"/>
      <c r="P40" s="725"/>
      <c r="Q40" s="725"/>
      <c r="R40" s="725"/>
      <c r="S40" s="726"/>
      <c r="U40" s="730"/>
      <c r="V40" s="731"/>
      <c r="W40" s="731"/>
      <c r="X40" s="731"/>
      <c r="Y40" s="731"/>
      <c r="Z40" s="731"/>
      <c r="AA40" s="731"/>
      <c r="AB40" s="732"/>
      <c r="AC40" s="730"/>
      <c r="AD40" s="731"/>
      <c r="AE40" s="731"/>
      <c r="AF40" s="731"/>
      <c r="AG40" s="732"/>
      <c r="AH40" s="724"/>
      <c r="AI40" s="725"/>
      <c r="AJ40" s="725"/>
      <c r="AK40" s="725"/>
      <c r="AL40" s="726"/>
    </row>
    <row r="42" spans="2:10" ht="12.75">
      <c r="B42" s="810" t="s">
        <v>477</v>
      </c>
      <c r="C42" s="810"/>
      <c r="D42" s="810"/>
      <c r="E42" s="810"/>
      <c r="F42" s="810"/>
      <c r="G42" s="810"/>
      <c r="H42" s="810"/>
      <c r="I42" s="810"/>
      <c r="J42" s="441">
        <v>14</v>
      </c>
    </row>
    <row r="43" spans="2:10" ht="12.75">
      <c r="B43" s="810" t="s">
        <v>478</v>
      </c>
      <c r="C43" s="810"/>
      <c r="D43" s="810"/>
      <c r="E43" s="810"/>
      <c r="F43" s="810"/>
      <c r="G43" s="810"/>
      <c r="H43" s="810"/>
      <c r="I43" s="810"/>
      <c r="J43" s="442">
        <f>30-J42</f>
        <v>16</v>
      </c>
    </row>
  </sheetData>
  <sheetProtection/>
  <mergeCells count="86">
    <mergeCell ref="B42:I42"/>
    <mergeCell ref="B43:I43"/>
    <mergeCell ref="AC9:AG10"/>
    <mergeCell ref="B10:G10"/>
    <mergeCell ref="H10:M10"/>
    <mergeCell ref="B9:G9"/>
    <mergeCell ref="H9:M9"/>
    <mergeCell ref="P9:W10"/>
    <mergeCell ref="X9:AB10"/>
    <mergeCell ref="B11:G11"/>
    <mergeCell ref="B2:AJ2"/>
    <mergeCell ref="B3:AJ3"/>
    <mergeCell ref="B7:G7"/>
    <mergeCell ref="H7:M7"/>
    <mergeCell ref="P7:W8"/>
    <mergeCell ref="X7:AB8"/>
    <mergeCell ref="AC7:AG8"/>
    <mergeCell ref="B8:G8"/>
    <mergeCell ref="H8:M8"/>
    <mergeCell ref="H11:M11"/>
    <mergeCell ref="B12:G12"/>
    <mergeCell ref="H12:M12"/>
    <mergeCell ref="P12:W13"/>
    <mergeCell ref="X12:AB13"/>
    <mergeCell ref="AC12:AG13"/>
    <mergeCell ref="B13:G13"/>
    <mergeCell ref="H13:M13"/>
    <mergeCell ref="AC14:AG15"/>
    <mergeCell ref="B15:G15"/>
    <mergeCell ref="H15:M15"/>
    <mergeCell ref="B16:G16"/>
    <mergeCell ref="H16:M16"/>
    <mergeCell ref="B14:G14"/>
    <mergeCell ref="H14:M14"/>
    <mergeCell ref="P14:W15"/>
    <mergeCell ref="X14:AB15"/>
    <mergeCell ref="B17:G17"/>
    <mergeCell ref="H17:M17"/>
    <mergeCell ref="P17:AG18"/>
    <mergeCell ref="B18:G18"/>
    <mergeCell ref="H18:M18"/>
    <mergeCell ref="B19:G19"/>
    <mergeCell ref="H19:M19"/>
    <mergeCell ref="P19:W19"/>
    <mergeCell ref="X19:AC20"/>
    <mergeCell ref="AD19:AG20"/>
    <mergeCell ref="H20:M21"/>
    <mergeCell ref="P20:S20"/>
    <mergeCell ref="T20:W20"/>
    <mergeCell ref="P21:S22"/>
    <mergeCell ref="T21:W22"/>
    <mergeCell ref="X21:AC22"/>
    <mergeCell ref="AD21:AG22"/>
    <mergeCell ref="X23:AA24"/>
    <mergeCell ref="AB23:AG24"/>
    <mergeCell ref="AB25:AG26"/>
    <mergeCell ref="AC32:AG33"/>
    <mergeCell ref="AH32:AL33"/>
    <mergeCell ref="B28:S29"/>
    <mergeCell ref="U28:AL29"/>
    <mergeCell ref="B30:I31"/>
    <mergeCell ref="J30:N31"/>
    <mergeCell ref="O30:S31"/>
    <mergeCell ref="U30:AB31"/>
    <mergeCell ref="AC30:AG31"/>
    <mergeCell ref="AH30:AL31"/>
    <mergeCell ref="AC39:AG40"/>
    <mergeCell ref="AH39:AL40"/>
    <mergeCell ref="B35:S36"/>
    <mergeCell ref="U35:AL36"/>
    <mergeCell ref="B37:I38"/>
    <mergeCell ref="J37:N38"/>
    <mergeCell ref="O37:S38"/>
    <mergeCell ref="U37:AB38"/>
    <mergeCell ref="AC37:AG38"/>
    <mergeCell ref="AH37:AL38"/>
    <mergeCell ref="A26:V26"/>
    <mergeCell ref="B39:I40"/>
    <mergeCell ref="J39:N40"/>
    <mergeCell ref="O39:S40"/>
    <mergeCell ref="U39:AB40"/>
    <mergeCell ref="B32:I33"/>
    <mergeCell ref="J32:N33"/>
    <mergeCell ref="O32:S33"/>
    <mergeCell ref="U32:AB33"/>
    <mergeCell ref="X25:AA26"/>
  </mergeCells>
  <printOptions/>
  <pageMargins left="0.7" right="0.7" top="0.75" bottom="0.75" header="0.3" footer="0.3"/>
  <pageSetup fitToHeight="1" fitToWidth="1" horizontalDpi="600" verticalDpi="600" orientation="portrait" paperSize="9" scale="7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9"/>
  <sheetViews>
    <sheetView tabSelected="1" zoomScale="150" zoomScaleNormal="150" zoomScalePageLayoutView="0" workbookViewId="0" topLeftCell="A22">
      <selection activeCell="G28" sqref="G28"/>
    </sheetView>
  </sheetViews>
  <sheetFormatPr defaultColWidth="11.421875" defaultRowHeight="12.75"/>
  <cols>
    <col min="1" max="1" width="11.421875" style="177" customWidth="1"/>
    <col min="2" max="2" width="12.421875" style="174" customWidth="1"/>
    <col min="3" max="3" width="12.8515625" style="177" customWidth="1"/>
    <col min="4" max="4" width="14.7109375" style="174" customWidth="1"/>
    <col min="5" max="5" width="13.7109375" style="177" customWidth="1"/>
    <col min="6" max="6" width="13.421875" style="174" customWidth="1"/>
    <col min="7" max="7" width="17.7109375" style="177" customWidth="1"/>
    <col min="8" max="8" width="17.7109375" style="174" customWidth="1"/>
    <col min="9" max="9" width="11.421875" style="174" customWidth="1"/>
  </cols>
  <sheetData>
    <row r="1" spans="1:12" s="100" customFormat="1" ht="15.75" thickTop="1">
      <c r="A1" s="98" t="s">
        <v>84</v>
      </c>
      <c r="B1" s="693"/>
      <c r="C1" s="694"/>
      <c r="D1" s="695"/>
      <c r="E1" s="300" t="s">
        <v>85</v>
      </c>
      <c r="F1" s="456" t="s">
        <v>476</v>
      </c>
      <c r="G1" s="456"/>
      <c r="H1" s="457"/>
      <c r="I1" s="99"/>
      <c r="L1" s="331" t="s">
        <v>86</v>
      </c>
    </row>
    <row r="2" spans="1:12" s="100" customFormat="1" ht="15">
      <c r="A2" s="101" t="s">
        <v>87</v>
      </c>
      <c r="B2" s="691"/>
      <c r="C2" s="696"/>
      <c r="D2" s="692"/>
      <c r="E2" s="296" t="s">
        <v>88</v>
      </c>
      <c r="F2" s="425">
        <f>NOMINA2016!F2</f>
        <v>0</v>
      </c>
      <c r="G2" s="295" t="s">
        <v>89</v>
      </c>
      <c r="H2" s="337" t="str">
        <f>NOMINA2016!H2</f>
        <v>08-0000000000</v>
      </c>
      <c r="I2" s="99"/>
      <c r="L2" s="331" t="s">
        <v>90</v>
      </c>
    </row>
    <row r="3" spans="1:12" s="100" customFormat="1" ht="15">
      <c r="A3" s="101" t="s">
        <v>91</v>
      </c>
      <c r="B3" s="691"/>
      <c r="C3" s="692"/>
      <c r="D3" s="103" t="s">
        <v>92</v>
      </c>
      <c r="E3" s="820" t="str">
        <f>NOMINA2016!E3</f>
        <v>JEFE MANTENIMIENTO</v>
      </c>
      <c r="F3" s="821"/>
      <c r="G3" s="431" t="s">
        <v>93</v>
      </c>
      <c r="H3" s="338" t="str">
        <f>NOMINA2016!H3</f>
        <v>M</v>
      </c>
      <c r="I3" s="99"/>
      <c r="L3" s="424"/>
    </row>
    <row r="4" spans="1:14" s="100" customFormat="1" ht="15">
      <c r="A4" s="301" t="s">
        <v>95</v>
      </c>
      <c r="B4" s="691"/>
      <c r="C4" s="692"/>
      <c r="D4" s="298" t="s">
        <v>96</v>
      </c>
      <c r="E4" s="341">
        <f>NOMINA2016!E4</f>
        <v>3</v>
      </c>
      <c r="F4" s="196"/>
      <c r="G4" s="432" t="s">
        <v>97</v>
      </c>
      <c r="H4" s="426"/>
      <c r="I4" s="99"/>
      <c r="J4" s="210"/>
      <c r="K4" s="210"/>
      <c r="L4" s="332" t="s">
        <v>424</v>
      </c>
      <c r="M4" s="210"/>
      <c r="N4" s="210"/>
    </row>
    <row r="5" spans="1:14" s="100" customFormat="1" ht="15">
      <c r="A5" s="111"/>
      <c r="B5" s="112"/>
      <c r="C5" s="113"/>
      <c r="D5" s="112"/>
      <c r="E5" s="113"/>
      <c r="F5" s="299" t="s">
        <v>98</v>
      </c>
      <c r="G5" s="302"/>
      <c r="H5" s="346">
        <f>NOMINA2016!H5</f>
        <v>2</v>
      </c>
      <c r="I5" s="99"/>
      <c r="J5" s="210"/>
      <c r="K5" s="210"/>
      <c r="L5" s="332"/>
      <c r="M5" s="210"/>
      <c r="N5" s="210"/>
    </row>
    <row r="6" spans="1:14" s="100" customFormat="1" ht="15.75" thickBot="1">
      <c r="A6" s="446" t="s">
        <v>99</v>
      </c>
      <c r="B6" s="447"/>
      <c r="C6" s="428" t="s">
        <v>459</v>
      </c>
      <c r="D6" s="398" t="s">
        <v>460</v>
      </c>
      <c r="E6" s="303" t="s">
        <v>406</v>
      </c>
      <c r="F6" s="434">
        <v>11</v>
      </c>
      <c r="G6" s="304" t="s">
        <v>403</v>
      </c>
      <c r="H6" s="435">
        <f>NOMINA2016!H6</f>
        <v>30</v>
      </c>
      <c r="I6" s="99"/>
      <c r="J6" s="210"/>
      <c r="K6" s="210"/>
      <c r="L6" s="210"/>
      <c r="M6" s="210"/>
      <c r="N6" s="210"/>
    </row>
    <row r="7" spans="1:14" s="107" customFormat="1" ht="15.75" thickTop="1">
      <c r="A7" s="104" t="s">
        <v>100</v>
      </c>
      <c r="B7" s="103"/>
      <c r="C7" s="105"/>
      <c r="D7" s="103"/>
      <c r="E7" s="326" t="s">
        <v>423</v>
      </c>
      <c r="F7" s="427" t="str">
        <f>NOMINA2016!F7</f>
        <v>NO</v>
      </c>
      <c r="G7" s="325"/>
      <c r="H7" s="208" t="s">
        <v>101</v>
      </c>
      <c r="I7" s="106"/>
      <c r="J7" s="211"/>
      <c r="K7" s="211"/>
      <c r="L7" s="211"/>
      <c r="M7" s="211"/>
      <c r="N7" s="211"/>
    </row>
    <row r="8" spans="1:14" s="100" customFormat="1" ht="15.75">
      <c r="A8" s="108"/>
      <c r="B8" s="109"/>
      <c r="C8" s="109"/>
      <c r="D8" s="103" t="s">
        <v>354</v>
      </c>
      <c r="E8" s="819"/>
      <c r="F8" s="819"/>
      <c r="G8" s="819"/>
      <c r="H8" s="110"/>
      <c r="I8" s="99"/>
      <c r="J8" s="210"/>
      <c r="K8" s="210"/>
      <c r="L8" s="210"/>
      <c r="M8" s="210"/>
      <c r="N8" s="210"/>
    </row>
    <row r="9" spans="1:14" s="100" customFormat="1" ht="15.75" thickBot="1">
      <c r="A9" s="111" t="s">
        <v>102</v>
      </c>
      <c r="B9" s="112"/>
      <c r="C9" s="113"/>
      <c r="D9" s="112" t="s">
        <v>475</v>
      </c>
      <c r="E9" s="113"/>
      <c r="F9" s="112"/>
      <c r="G9" s="113"/>
      <c r="H9" s="114"/>
      <c r="I9" s="99"/>
      <c r="J9" s="210"/>
      <c r="K9" s="210"/>
      <c r="L9" s="210"/>
      <c r="M9" s="210"/>
      <c r="N9" s="210"/>
    </row>
    <row r="10" spans="1:14" s="100" customFormat="1" ht="22.5" customHeight="1">
      <c r="A10" s="111"/>
      <c r="B10" s="112"/>
      <c r="C10" s="113"/>
      <c r="D10" s="115" t="s">
        <v>103</v>
      </c>
      <c r="E10" s="115" t="s">
        <v>104</v>
      </c>
      <c r="F10" s="112"/>
      <c r="G10" s="113"/>
      <c r="H10" s="114"/>
      <c r="I10" s="99"/>
      <c r="J10" s="210"/>
      <c r="K10" s="210"/>
      <c r="L10" s="210"/>
      <c r="M10" s="210"/>
      <c r="N10" s="210"/>
    </row>
    <row r="11" spans="1:14" s="100" customFormat="1" ht="16.5" thickBot="1">
      <c r="A11" s="459" t="s">
        <v>105</v>
      </c>
      <c r="B11" s="448"/>
      <c r="C11" s="449"/>
      <c r="D11" s="404">
        <v>1200</v>
      </c>
      <c r="E11" s="292">
        <f>'ANEXO ACC'!J43</f>
        <v>16</v>
      </c>
      <c r="F11" s="116"/>
      <c r="G11" s="291">
        <f>IF(H3="D",D11*E11,IF(D11=30,D11,D11/30*E11))</f>
        <v>640</v>
      </c>
      <c r="H11" s="110"/>
      <c r="I11" s="99"/>
      <c r="J11" s="210"/>
      <c r="K11" s="210"/>
      <c r="L11" s="210"/>
      <c r="M11" s="210"/>
      <c r="N11" s="210"/>
    </row>
    <row r="12" spans="1:14" s="100" customFormat="1" ht="15.75">
      <c r="A12" s="111" t="s">
        <v>97</v>
      </c>
      <c r="B12" s="112"/>
      <c r="C12" s="293">
        <f>NOMINA2016!C12</f>
        <v>0.25</v>
      </c>
      <c r="D12" s="117"/>
      <c r="E12" s="109"/>
      <c r="F12" s="109"/>
      <c r="G12" s="118">
        <f>G11*C12</f>
        <v>160</v>
      </c>
      <c r="H12" s="110"/>
      <c r="I12" s="99"/>
      <c r="J12" s="210"/>
      <c r="K12" s="210"/>
      <c r="L12" s="210"/>
      <c r="M12" s="210"/>
      <c r="N12" s="210"/>
    </row>
    <row r="13" spans="1:14" s="100" customFormat="1" ht="15.75">
      <c r="A13" s="111" t="s">
        <v>106</v>
      </c>
      <c r="B13" s="112"/>
      <c r="C13" s="113"/>
      <c r="D13" s="119" t="s">
        <v>107</v>
      </c>
      <c r="E13" s="109"/>
      <c r="F13" s="109"/>
      <c r="G13" s="120"/>
      <c r="H13" s="110"/>
      <c r="I13" s="99"/>
      <c r="J13" s="210"/>
      <c r="K13" s="210"/>
      <c r="L13" s="210"/>
      <c r="M13" s="210"/>
      <c r="N13" s="210"/>
    </row>
    <row r="14" spans="1:14" s="100" customFormat="1" ht="15.75">
      <c r="A14" s="453" t="str">
        <f>NOMINA2016!A14</f>
        <v>INCENTIVOS</v>
      </c>
      <c r="B14" s="454"/>
      <c r="C14" s="407" t="s">
        <v>424</v>
      </c>
      <c r="D14" s="119" t="s">
        <v>90</v>
      </c>
      <c r="E14" s="440">
        <f>NOMINA2016!E14</f>
        <v>122.3</v>
      </c>
      <c r="F14" s="127" t="s">
        <v>402</v>
      </c>
      <c r="G14" s="122">
        <f>(E14/30)*E11</f>
        <v>65.22666666666666</v>
      </c>
      <c r="H14" s="110"/>
      <c r="I14" s="123">
        <f aca="true" t="shared" si="0" ref="I14:I19">IF(D14="NO","",G14)</f>
      </c>
      <c r="J14" s="210"/>
      <c r="K14" s="210"/>
      <c r="L14" s="210"/>
      <c r="M14" s="210"/>
      <c r="N14" s="210"/>
    </row>
    <row r="15" spans="1:14" s="100" customFormat="1" ht="15.75">
      <c r="A15" s="817">
        <f>NOMINA2016!A15</f>
        <v>0</v>
      </c>
      <c r="B15" s="818"/>
      <c r="C15" s="407" t="s">
        <v>424</v>
      </c>
      <c r="D15" s="119" t="s">
        <v>90</v>
      </c>
      <c r="E15" s="440">
        <f>NOMINA2016!E15</f>
        <v>0</v>
      </c>
      <c r="F15" s="127" t="s">
        <v>402</v>
      </c>
      <c r="G15" s="122">
        <f>(E15/30)*E11</f>
        <v>0</v>
      </c>
      <c r="H15" s="110"/>
      <c r="I15" s="123">
        <f t="shared" si="0"/>
      </c>
      <c r="J15" s="212"/>
      <c r="K15" s="210"/>
      <c r="L15" s="210"/>
      <c r="M15" s="210"/>
      <c r="N15" s="210"/>
    </row>
    <row r="16" spans="1:9" s="100" customFormat="1" ht="15.75">
      <c r="A16" s="817">
        <f>NOMINA2016!A16</f>
        <v>0</v>
      </c>
      <c r="B16" s="818"/>
      <c r="C16" s="407"/>
      <c r="D16" s="119" t="s">
        <v>90</v>
      </c>
      <c r="E16" s="440">
        <f>NOMINA2016!E16</f>
        <v>0</v>
      </c>
      <c r="F16" s="127" t="s">
        <v>402</v>
      </c>
      <c r="G16" s="122">
        <f>E16</f>
        <v>0</v>
      </c>
      <c r="H16" s="110"/>
      <c r="I16" s="123">
        <f t="shared" si="0"/>
      </c>
    </row>
    <row r="17" spans="1:9" s="100" customFormat="1" ht="15.75">
      <c r="A17" s="464" t="str">
        <f>NOMINA2016!A17</f>
        <v>PLUS PUNTUALIDAD</v>
      </c>
      <c r="B17" s="465"/>
      <c r="C17" s="466"/>
      <c r="D17" s="119" t="s">
        <v>90</v>
      </c>
      <c r="E17" s="440">
        <f>NOMINA2016!E17</f>
        <v>3.07</v>
      </c>
      <c r="F17" s="127" t="s">
        <v>405</v>
      </c>
      <c r="G17" s="125">
        <f>E17*$F$6</f>
        <v>33.769999999999996</v>
      </c>
      <c r="H17" s="110"/>
      <c r="I17" s="123">
        <f t="shared" si="0"/>
      </c>
    </row>
    <row r="18" spans="1:9" s="100" customFormat="1" ht="16.5" thickBot="1">
      <c r="A18" s="464">
        <f>NOMINA2016!A18</f>
        <v>0</v>
      </c>
      <c r="B18" s="465"/>
      <c r="C18" s="466"/>
      <c r="D18" s="126" t="s">
        <v>90</v>
      </c>
      <c r="E18" s="440">
        <f>NOMINA2016!E18</f>
        <v>0</v>
      </c>
      <c r="F18" s="127" t="s">
        <v>405</v>
      </c>
      <c r="G18" s="125">
        <f>E18*$F$6</f>
        <v>0</v>
      </c>
      <c r="H18" s="110"/>
      <c r="I18" s="123">
        <f t="shared" si="0"/>
      </c>
    </row>
    <row r="19" spans="1:9" s="100" customFormat="1" ht="15.75">
      <c r="A19" s="111" t="s">
        <v>108</v>
      </c>
      <c r="B19" s="112"/>
      <c r="C19" s="127"/>
      <c r="D19" s="121"/>
      <c r="E19" s="121"/>
      <c r="F19" s="121"/>
      <c r="G19" s="396">
        <v>0</v>
      </c>
      <c r="H19" s="110"/>
      <c r="I19" s="99">
        <f t="shared" si="0"/>
        <v>0</v>
      </c>
    </row>
    <row r="20" spans="1:9" s="100" customFormat="1" ht="16.5" thickBot="1">
      <c r="A20" s="111" t="s">
        <v>109</v>
      </c>
      <c r="B20" s="112"/>
      <c r="C20" s="113"/>
      <c r="D20" s="128"/>
      <c r="E20" s="124"/>
      <c r="F20" s="124"/>
      <c r="G20" s="396">
        <v>0</v>
      </c>
      <c r="H20" s="110"/>
      <c r="I20" s="99"/>
    </row>
    <row r="21" spans="1:9" s="100" customFormat="1" ht="16.5" thickBot="1">
      <c r="A21" s="111" t="s">
        <v>110</v>
      </c>
      <c r="B21" s="112"/>
      <c r="C21" s="121"/>
      <c r="D21" s="121"/>
      <c r="E21" s="121"/>
      <c r="F21" s="121"/>
      <c r="G21" s="129"/>
      <c r="H21" s="308">
        <f>SUM(G11:G21)</f>
        <v>898.9966666666667</v>
      </c>
      <c r="I21" s="106"/>
    </row>
    <row r="22" spans="1:9" s="100" customFormat="1" ht="15.75">
      <c r="A22" s="111" t="s">
        <v>111</v>
      </c>
      <c r="B22" s="112"/>
      <c r="C22" s="113"/>
      <c r="D22" s="109"/>
      <c r="E22" s="109"/>
      <c r="F22" s="109"/>
      <c r="G22" s="109"/>
      <c r="H22" s="110"/>
      <c r="I22" s="99"/>
    </row>
    <row r="23" spans="1:9" s="100" customFormat="1" ht="15.75">
      <c r="A23" s="194" t="s">
        <v>112</v>
      </c>
      <c r="B23" s="195"/>
      <c r="C23" s="196"/>
      <c r="D23" s="410"/>
      <c r="E23" s="411"/>
      <c r="F23" s="412"/>
      <c r="G23" s="120"/>
      <c r="H23" s="130"/>
      <c r="I23" s="99"/>
    </row>
    <row r="24" spans="1:9" s="100" customFormat="1" ht="15.75">
      <c r="A24" s="444" t="s">
        <v>172</v>
      </c>
      <c r="B24" s="445"/>
      <c r="C24" s="443"/>
      <c r="D24" s="413"/>
      <c r="E24" s="413"/>
      <c r="F24" s="413"/>
      <c r="G24" s="132">
        <f>SUM(D24:F24)</f>
        <v>0</v>
      </c>
      <c r="H24" s="130"/>
      <c r="I24" s="99"/>
    </row>
    <row r="25" spans="1:9" s="100" customFormat="1" ht="16.5" thickBot="1">
      <c r="A25" s="444" t="s">
        <v>171</v>
      </c>
      <c r="B25" s="445"/>
      <c r="C25" s="443"/>
      <c r="D25" s="413">
        <v>0</v>
      </c>
      <c r="E25" s="413"/>
      <c r="F25" s="413"/>
      <c r="G25" s="132">
        <f>SUM(D25:F25)</f>
        <v>0</v>
      </c>
      <c r="H25" s="133"/>
      <c r="I25" s="99"/>
    </row>
    <row r="26" spans="1:9" s="100" customFormat="1" ht="16.5" thickBot="1">
      <c r="A26" s="444" t="s">
        <v>113</v>
      </c>
      <c r="B26" s="445"/>
      <c r="C26" s="443"/>
      <c r="D26" s="413">
        <v>0</v>
      </c>
      <c r="E26" s="413"/>
      <c r="F26" s="413"/>
      <c r="G26" s="132">
        <f>SUM(D26:F26)</f>
        <v>0</v>
      </c>
      <c r="H26" s="309">
        <f>SUM(G24:G26)</f>
        <v>0</v>
      </c>
      <c r="I26" s="99"/>
    </row>
    <row r="27" spans="1:9" s="100" customFormat="1" ht="15.75">
      <c r="A27" s="111" t="s">
        <v>114</v>
      </c>
      <c r="B27" s="112"/>
      <c r="C27" s="113"/>
      <c r="D27" s="112"/>
      <c r="E27" s="113"/>
      <c r="F27" s="109"/>
      <c r="G27" s="120"/>
      <c r="H27" s="130"/>
      <c r="I27" s="99"/>
    </row>
    <row r="28" spans="1:9" s="100" customFormat="1" ht="16.5" thickBot="1">
      <c r="A28" s="134" t="s">
        <v>115</v>
      </c>
      <c r="B28" s="135"/>
      <c r="C28" s="136" t="s">
        <v>116</v>
      </c>
      <c r="D28" s="422" t="s">
        <v>456</v>
      </c>
      <c r="E28" s="439">
        <v>1</v>
      </c>
      <c r="F28" s="127" t="s">
        <v>118</v>
      </c>
      <c r="G28" s="138"/>
      <c r="H28" s="130"/>
      <c r="I28" s="99"/>
    </row>
    <row r="29" spans="1:9" s="100" customFormat="1" ht="16.5" thickBot="1">
      <c r="A29" s="139">
        <v>0</v>
      </c>
      <c r="B29" s="140"/>
      <c r="C29" s="140">
        <v>0</v>
      </c>
      <c r="D29" s="141"/>
      <c r="E29" s="423">
        <f>F32*E28</f>
        <v>65.27266666666628</v>
      </c>
      <c r="F29" s="141">
        <f>'ANEXO ACC'!AB25</f>
        <v>691.8006666666669</v>
      </c>
      <c r="G29" s="132">
        <f>H29</f>
        <v>757.0733333333332</v>
      </c>
      <c r="H29" s="309">
        <f>(A29+C29+E29+F29)</f>
        <v>757.0733333333332</v>
      </c>
      <c r="I29" s="99"/>
    </row>
    <row r="30" spans="1:9" s="100" customFormat="1" ht="15.75">
      <c r="A30" s="194"/>
      <c r="B30" s="195"/>
      <c r="C30" s="199"/>
      <c r="D30" s="450">
        <f>NOMINA2016!H32</f>
        <v>2111.0699999999997</v>
      </c>
      <c r="E30" s="131">
        <f>NOMINA2016!G17+NOMINA2016!G18+NOMINA2016!G19+NOMINA2016!G20+NOMINA2016!H26</f>
        <v>488.77</v>
      </c>
      <c r="F30" s="131">
        <f>D30-E30</f>
        <v>1622.2999999999997</v>
      </c>
      <c r="G30" s="120"/>
      <c r="H30" s="130"/>
      <c r="I30" s="99"/>
    </row>
    <row r="31" spans="1:9" s="100" customFormat="1" ht="16.5" thickBot="1">
      <c r="A31" s="193" t="s">
        <v>119</v>
      </c>
      <c r="B31" s="197"/>
      <c r="C31" s="198"/>
      <c r="D31" s="131">
        <f>F29+H21+H26</f>
        <v>1590.7973333333334</v>
      </c>
      <c r="E31" s="131">
        <f>G17+G18+G19+G20+H26</f>
        <v>33.769999999999996</v>
      </c>
      <c r="F31" s="131">
        <f>D31-E31</f>
        <v>1557.0273333333334</v>
      </c>
      <c r="G31" s="122"/>
      <c r="H31" s="130"/>
      <c r="I31" s="99"/>
    </row>
    <row r="32" spans="1:9" s="107" customFormat="1" ht="16.5" thickBot="1">
      <c r="A32" s="104"/>
      <c r="B32" s="103"/>
      <c r="C32" s="200" t="s">
        <v>120</v>
      </c>
      <c r="D32" s="201"/>
      <c r="E32" s="200"/>
      <c r="F32" s="202">
        <f>F30-F31</f>
        <v>65.27266666666628</v>
      </c>
      <c r="G32" s="203"/>
      <c r="H32" s="310">
        <f>SUM(G11:G20)+H26+H29</f>
        <v>1656.0699999999997</v>
      </c>
      <c r="I32" s="106"/>
    </row>
    <row r="33" spans="1:9" s="100" customFormat="1" ht="15">
      <c r="A33" s="104"/>
      <c r="B33" s="103"/>
      <c r="C33" s="105"/>
      <c r="D33" s="147"/>
      <c r="E33" s="105"/>
      <c r="F33" s="103"/>
      <c r="G33" s="105"/>
      <c r="H33" s="130"/>
      <c r="I33" s="99"/>
    </row>
    <row r="34" spans="1:9" s="107" customFormat="1" ht="12.75">
      <c r="A34" s="104" t="s">
        <v>121</v>
      </c>
      <c r="B34" s="103"/>
      <c r="C34" s="105"/>
      <c r="D34" s="103"/>
      <c r="E34" s="105"/>
      <c r="F34" s="103"/>
      <c r="G34" s="105"/>
      <c r="H34" s="148"/>
      <c r="I34" s="106"/>
    </row>
    <row r="35" spans="1:9" s="107" customFormat="1" ht="12.75">
      <c r="A35" s="104" t="s">
        <v>122</v>
      </c>
      <c r="B35" s="103"/>
      <c r="C35" s="105"/>
      <c r="D35" s="147"/>
      <c r="E35" s="105"/>
      <c r="F35" s="103"/>
      <c r="G35" s="105"/>
      <c r="H35" s="149"/>
      <c r="I35" s="106"/>
    </row>
    <row r="36" spans="1:9" s="100" customFormat="1" ht="15">
      <c r="A36" s="111"/>
      <c r="B36" s="112"/>
      <c r="C36" s="113"/>
      <c r="D36" s="112"/>
      <c r="E36" s="150" t="s">
        <v>123</v>
      </c>
      <c r="F36" s="112"/>
      <c r="G36" s="302"/>
      <c r="H36" s="114"/>
      <c r="I36" s="99"/>
    </row>
    <row r="37" spans="1:9" s="100" customFormat="1" ht="15.75">
      <c r="A37" s="111" t="s">
        <v>124</v>
      </c>
      <c r="B37" s="112"/>
      <c r="C37" s="121"/>
      <c r="D37" s="183">
        <f>F61</f>
        <v>1948.602</v>
      </c>
      <c r="E37" s="152">
        <v>0.047</v>
      </c>
      <c r="F37" s="204"/>
      <c r="G37" s="122">
        <f>D37*E37</f>
        <v>91.584294</v>
      </c>
      <c r="H37" s="110"/>
      <c r="I37" s="99"/>
    </row>
    <row r="38" spans="1:9" s="100" customFormat="1" ht="15.75">
      <c r="A38" s="111" t="s">
        <v>125</v>
      </c>
      <c r="B38" s="112"/>
      <c r="C38" s="124"/>
      <c r="D38" s="183">
        <f>F62</f>
        <v>1954.730888888889</v>
      </c>
      <c r="E38" s="152">
        <v>0.0155</v>
      </c>
      <c r="F38" s="120"/>
      <c r="G38" s="122">
        <f>D38*E38</f>
        <v>30.29832877777778</v>
      </c>
      <c r="H38" s="110"/>
      <c r="I38" s="99"/>
    </row>
    <row r="39" spans="1:9" s="100" customFormat="1" ht="15.75">
      <c r="A39" s="111" t="s">
        <v>126</v>
      </c>
      <c r="B39" s="112"/>
      <c r="C39" s="124"/>
      <c r="D39" s="183">
        <f>F62</f>
        <v>1954.730888888889</v>
      </c>
      <c r="E39" s="152">
        <v>0.001</v>
      </c>
      <c r="F39" s="120"/>
      <c r="G39" s="122">
        <f>D39*E39</f>
        <v>1.954730888888889</v>
      </c>
      <c r="H39" s="110"/>
      <c r="I39" s="99"/>
    </row>
    <row r="40" spans="1:9" s="100" customFormat="1" ht="15.75">
      <c r="A40" s="111" t="s">
        <v>127</v>
      </c>
      <c r="B40" s="112"/>
      <c r="C40" s="113"/>
      <c r="D40" s="183">
        <f>G19</f>
        <v>0</v>
      </c>
      <c r="E40" s="152">
        <v>0.047</v>
      </c>
      <c r="F40" s="120"/>
      <c r="G40" s="122">
        <f>D40*E40</f>
        <v>0</v>
      </c>
      <c r="H40" s="110"/>
      <c r="I40" s="99"/>
    </row>
    <row r="41" spans="1:9" s="100" customFormat="1" ht="16.5" thickBot="1">
      <c r="A41" s="111" t="s">
        <v>128</v>
      </c>
      <c r="B41" s="112"/>
      <c r="C41" s="113"/>
      <c r="D41" s="183">
        <f>G20</f>
        <v>0</v>
      </c>
      <c r="E41" s="152">
        <v>0.02</v>
      </c>
      <c r="F41" s="120"/>
      <c r="G41" s="132">
        <f>D41*E41</f>
        <v>0</v>
      </c>
      <c r="H41" s="110"/>
      <c r="I41" s="99"/>
    </row>
    <row r="42" spans="1:9" s="107" customFormat="1" ht="16.5" thickBot="1">
      <c r="A42" s="104" t="s">
        <v>129</v>
      </c>
      <c r="B42" s="103"/>
      <c r="C42" s="145"/>
      <c r="D42" s="146"/>
      <c r="E42" s="153"/>
      <c r="F42" s="153"/>
      <c r="G42" s="207">
        <f>SUM(G37:G41)</f>
        <v>123.83735366666667</v>
      </c>
      <c r="H42" s="205"/>
      <c r="I42" s="106"/>
    </row>
    <row r="43" spans="1:9" s="100" customFormat="1" ht="16.5" thickBot="1">
      <c r="A43" s="108"/>
      <c r="B43" s="109"/>
      <c r="C43" s="109"/>
      <c r="D43" s="109"/>
      <c r="E43" s="120"/>
      <c r="F43" s="120"/>
      <c r="G43" s="120"/>
      <c r="H43" s="110"/>
      <c r="I43" s="99"/>
    </row>
    <row r="44" spans="1:9" s="100" customFormat="1" ht="16.5" thickBot="1">
      <c r="A44" s="111" t="s">
        <v>130</v>
      </c>
      <c r="B44" s="219" t="s">
        <v>158</v>
      </c>
      <c r="C44" s="220">
        <f>NOMINA2016!C44</f>
        <v>23039.12</v>
      </c>
      <c r="D44" s="221">
        <f>D68</f>
        <v>1656.0699999999997</v>
      </c>
      <c r="E44" s="152">
        <f>+IRPF2016!I41</f>
        <v>0.10455011351127992</v>
      </c>
      <c r="F44" s="120"/>
      <c r="G44" s="122">
        <f>D44*E44</f>
        <v>173.14230648262532</v>
      </c>
      <c r="H44" s="110"/>
      <c r="I44" s="99"/>
    </row>
    <row r="45" spans="1:9" s="100" customFormat="1" ht="15.75">
      <c r="A45" s="111" t="s">
        <v>131</v>
      </c>
      <c r="B45" s="109"/>
      <c r="C45" s="109"/>
      <c r="D45" s="109"/>
      <c r="E45" s="379"/>
      <c r="F45" s="120"/>
      <c r="G45" s="364">
        <v>0</v>
      </c>
      <c r="H45" s="110"/>
      <c r="I45" s="99"/>
    </row>
    <row r="46" spans="1:9" s="100" customFormat="1" ht="15.75">
      <c r="A46" s="111" t="s">
        <v>132</v>
      </c>
      <c r="B46" s="112"/>
      <c r="C46" s="113"/>
      <c r="D46" s="112"/>
      <c r="E46" s="120"/>
      <c r="F46" s="120"/>
      <c r="G46" s="364">
        <v>0</v>
      </c>
      <c r="H46" s="110"/>
      <c r="I46" s="99"/>
    </row>
    <row r="47" spans="1:9" s="100" customFormat="1" ht="15.75">
      <c r="A47" s="111" t="s">
        <v>133</v>
      </c>
      <c r="B47" s="112"/>
      <c r="C47" s="109"/>
      <c r="D47" s="109"/>
      <c r="E47" s="109"/>
      <c r="F47" s="120"/>
      <c r="G47" s="364">
        <v>0</v>
      </c>
      <c r="H47" s="110"/>
      <c r="I47" s="99"/>
    </row>
    <row r="48" spans="1:9" s="100" customFormat="1" ht="16.5" thickBot="1">
      <c r="A48" s="108"/>
      <c r="B48" s="109"/>
      <c r="C48" s="109"/>
      <c r="D48" s="109"/>
      <c r="E48" s="109"/>
      <c r="F48" s="120"/>
      <c r="G48" s="120"/>
      <c r="H48" s="110"/>
      <c r="I48" s="99"/>
    </row>
    <row r="49" spans="1:9" s="107" customFormat="1" ht="16.5" thickBot="1">
      <c r="A49" s="104"/>
      <c r="B49" s="103"/>
      <c r="C49" s="105" t="s">
        <v>134</v>
      </c>
      <c r="D49" s="103"/>
      <c r="E49" s="154"/>
      <c r="F49" s="153"/>
      <c r="G49" s="207">
        <f>G42+G44+G45+G46+G47</f>
        <v>296.979660149292</v>
      </c>
      <c r="H49" s="205"/>
      <c r="I49" s="106"/>
    </row>
    <row r="50" spans="1:9" s="107" customFormat="1" ht="17.25" thickBot="1" thickTop="1">
      <c r="A50" s="104"/>
      <c r="B50" s="155" t="s">
        <v>135</v>
      </c>
      <c r="C50" s="105" t="s">
        <v>136</v>
      </c>
      <c r="D50" s="103"/>
      <c r="E50" s="105"/>
      <c r="F50" s="154"/>
      <c r="G50" s="154"/>
      <c r="H50" s="307">
        <f>H32-G49</f>
        <v>1359.0903398507078</v>
      </c>
      <c r="I50" s="106"/>
    </row>
    <row r="51" spans="1:9" s="100" customFormat="1" ht="15.75" thickTop="1">
      <c r="A51" s="111"/>
      <c r="B51" s="112"/>
      <c r="C51" s="113" t="s">
        <v>137</v>
      </c>
      <c r="D51" s="112"/>
      <c r="E51" s="113"/>
      <c r="F51" s="113" t="s">
        <v>138</v>
      </c>
      <c r="G51" s="113"/>
      <c r="H51" s="130" t="s">
        <v>139</v>
      </c>
      <c r="I51" s="99"/>
    </row>
    <row r="52" spans="1:9" s="100" customFormat="1" ht="15">
      <c r="A52" s="111"/>
      <c r="B52" s="112"/>
      <c r="C52" s="113"/>
      <c r="D52" s="112"/>
      <c r="E52" s="113"/>
      <c r="F52" s="112"/>
      <c r="G52" s="113"/>
      <c r="H52" s="148"/>
      <c r="I52" s="99"/>
    </row>
    <row r="53" spans="1:9" s="100" customFormat="1" ht="15.75" thickBot="1">
      <c r="A53" s="156"/>
      <c r="B53" s="157"/>
      <c r="C53" s="158"/>
      <c r="D53" s="157"/>
      <c r="E53" s="158"/>
      <c r="F53" s="157"/>
      <c r="G53" s="158"/>
      <c r="H53" s="159"/>
      <c r="I53" s="99"/>
    </row>
    <row r="54" spans="1:9" s="100" customFormat="1" ht="16.5" thickBot="1" thickTop="1">
      <c r="A54" s="191" t="s">
        <v>161</v>
      </c>
      <c r="B54" s="99"/>
      <c r="D54" s="99"/>
      <c r="F54" s="99"/>
      <c r="H54" s="99"/>
      <c r="I54" s="99"/>
    </row>
    <row r="55" spans="1:9" s="164" customFormat="1" ht="13.5" thickTop="1">
      <c r="A55" s="160" t="s">
        <v>140</v>
      </c>
      <c r="B55" s="161"/>
      <c r="C55" s="162"/>
      <c r="D55" s="161"/>
      <c r="E55" s="162"/>
      <c r="F55" s="161"/>
      <c r="G55" s="162"/>
      <c r="H55" s="179"/>
      <c r="I55" s="163"/>
    </row>
    <row r="56" spans="1:9" s="164" customFormat="1" ht="12.75">
      <c r="A56" s="104" t="s">
        <v>162</v>
      </c>
      <c r="B56" s="103"/>
      <c r="C56" s="105"/>
      <c r="D56" s="103"/>
      <c r="E56" s="105"/>
      <c r="F56" s="103"/>
      <c r="G56" s="105"/>
      <c r="H56" s="103"/>
      <c r="I56" s="188"/>
    </row>
    <row r="57" spans="1:9" s="100" customFormat="1" ht="15">
      <c r="A57" s="111"/>
      <c r="B57" s="180" t="s">
        <v>141</v>
      </c>
      <c r="C57" s="180" t="s">
        <v>458</v>
      </c>
      <c r="D57" s="180" t="s">
        <v>142</v>
      </c>
      <c r="E57" s="181" t="s">
        <v>143</v>
      </c>
      <c r="F57" s="182" t="s">
        <v>168</v>
      </c>
      <c r="G57" s="181" t="s">
        <v>169</v>
      </c>
      <c r="H57" s="186" t="s">
        <v>144</v>
      </c>
      <c r="I57" s="99"/>
    </row>
    <row r="58" spans="1:9" s="100" customFormat="1" ht="15.75">
      <c r="A58" s="813" t="s">
        <v>145</v>
      </c>
      <c r="B58" s="814"/>
      <c r="C58" s="380">
        <f>'ANEXO ACC'!X25</f>
        <v>14</v>
      </c>
      <c r="D58" s="423">
        <f>'ANEXO ACC'!O39</f>
        <v>916.2720000000002</v>
      </c>
      <c r="E58" s="141">
        <f>'ANEXO ACC'!AH39</f>
        <v>922.4008888888891</v>
      </c>
      <c r="F58" s="132"/>
      <c r="G58" s="141"/>
      <c r="H58" s="109"/>
      <c r="I58" s="171"/>
    </row>
    <row r="59" spans="1:9" s="100" customFormat="1" ht="15.75">
      <c r="A59" s="815" t="s">
        <v>426</v>
      </c>
      <c r="B59" s="816"/>
      <c r="C59" s="113">
        <f>E11</f>
        <v>16</v>
      </c>
      <c r="D59" s="187">
        <f>SUM(G11:G18)+G26</f>
        <v>898.9966666666667</v>
      </c>
      <c r="E59" s="131">
        <f>D59+G19+G20</f>
        <v>898.9966666666667</v>
      </c>
      <c r="F59" s="167"/>
      <c r="G59" s="131"/>
      <c r="H59" s="189"/>
      <c r="I59" s="171"/>
    </row>
    <row r="60" spans="1:9" s="100" customFormat="1" ht="15.75">
      <c r="A60" s="811" t="s">
        <v>457</v>
      </c>
      <c r="B60" s="812"/>
      <c r="C60" s="113">
        <f>E11</f>
        <v>16</v>
      </c>
      <c r="D60" s="168">
        <f>IF(H3="D",(D11+(D11*C12)+SUM(I14:I18))*30*H5/366*E11,(G11+(G12)+SUM(I14:I18))*H5/12)</f>
        <v>133.33333333333334</v>
      </c>
      <c r="E60" s="131">
        <f>D60</f>
        <v>133.33333333333334</v>
      </c>
      <c r="F60" s="151"/>
      <c r="G60" s="169"/>
      <c r="H60" s="165"/>
      <c r="I60" s="99"/>
    </row>
    <row r="61" spans="1:9" s="100" customFormat="1" ht="15.75">
      <c r="A61" s="217" t="s">
        <v>164</v>
      </c>
      <c r="B61" s="215" t="s">
        <v>166</v>
      </c>
      <c r="C61" s="216" t="s">
        <v>167</v>
      </c>
      <c r="D61" s="166">
        <f>SUM(D58:D60)</f>
        <v>1948.602</v>
      </c>
      <c r="E61" s="131"/>
      <c r="F61" s="183">
        <f>+IF(D61&gt;3642,3642,+D61)</f>
        <v>1948.602</v>
      </c>
      <c r="G61" s="185">
        <v>0.236</v>
      </c>
      <c r="H61" s="170">
        <f>F61*G61</f>
        <v>459.870072</v>
      </c>
      <c r="I61" s="99"/>
    </row>
    <row r="62" spans="1:9" s="100" customFormat="1" ht="16.5" thickBot="1">
      <c r="A62" s="218">
        <v>87</v>
      </c>
      <c r="B62" s="214">
        <f>VLOOKUP(A62,Cnae!A3:E165,3,FALSE)</f>
        <v>0.008</v>
      </c>
      <c r="C62" s="214">
        <f>VLOOKUP(A62,Cnae!A3:E165,4,FALSE)</f>
        <v>0.006999999999999999</v>
      </c>
      <c r="D62" s="150" t="s">
        <v>148</v>
      </c>
      <c r="E62" s="131">
        <f>SUM(E58:E61)</f>
        <v>1954.730888888889</v>
      </c>
      <c r="F62" s="183">
        <f>+IF(E62&gt;3642,3642,+E62)</f>
        <v>1954.730888888889</v>
      </c>
      <c r="G62" s="213">
        <f>SUM(B62+C62)</f>
        <v>0.015</v>
      </c>
      <c r="H62" s="170">
        <f aca="true" t="shared" si="1" ref="H62:H67">F62*G62</f>
        <v>29.320963333333335</v>
      </c>
      <c r="I62" s="99"/>
    </row>
    <row r="63" spans="1:9" s="100" customFormat="1" ht="15.75">
      <c r="A63" s="111" t="s">
        <v>149</v>
      </c>
      <c r="B63" s="112"/>
      <c r="C63" s="112"/>
      <c r="D63" s="190" t="s">
        <v>125</v>
      </c>
      <c r="E63" s="113"/>
      <c r="F63" s="183">
        <f>+IF(E62&gt;3642,3642,+E62)</f>
        <v>1954.730888888889</v>
      </c>
      <c r="G63" s="185">
        <v>0.055</v>
      </c>
      <c r="H63" s="170">
        <f t="shared" si="1"/>
        <v>107.5101988888889</v>
      </c>
      <c r="I63" s="99"/>
    </row>
    <row r="64" spans="1:9" s="100" customFormat="1" ht="15.75">
      <c r="A64" s="111" t="s">
        <v>150</v>
      </c>
      <c r="B64" s="112"/>
      <c r="C64" s="112"/>
      <c r="D64" s="190" t="s">
        <v>126</v>
      </c>
      <c r="E64" s="113"/>
      <c r="F64" s="183">
        <f>+IF(E62&gt;3642,3642,+E62)</f>
        <v>1954.730888888889</v>
      </c>
      <c r="G64" s="185">
        <v>0.006</v>
      </c>
      <c r="H64" s="170">
        <f t="shared" si="1"/>
        <v>11.728385333333334</v>
      </c>
      <c r="I64" s="99"/>
    </row>
    <row r="65" spans="1:9" s="100" customFormat="1" ht="15.75">
      <c r="A65" s="171"/>
      <c r="B65" s="222" t="s">
        <v>170</v>
      </c>
      <c r="C65" s="112"/>
      <c r="D65" s="190" t="s">
        <v>151</v>
      </c>
      <c r="E65" s="113"/>
      <c r="F65" s="151">
        <f>+IF(E62&gt;3642,3642,+E62)</f>
        <v>1954.730888888889</v>
      </c>
      <c r="G65" s="185">
        <v>0.002</v>
      </c>
      <c r="H65" s="170">
        <f t="shared" si="1"/>
        <v>3.909461777777778</v>
      </c>
      <c r="I65" s="99"/>
    </row>
    <row r="66" spans="1:9" s="100" customFormat="1" ht="15.75">
      <c r="A66" s="111" t="s">
        <v>152</v>
      </c>
      <c r="B66" s="112"/>
      <c r="C66" s="113"/>
      <c r="D66" s="112"/>
      <c r="E66" s="113" t="s">
        <v>153</v>
      </c>
      <c r="F66" s="183">
        <f>G19</f>
        <v>0</v>
      </c>
      <c r="G66" s="185">
        <v>0.236</v>
      </c>
      <c r="H66" s="170">
        <f t="shared" si="1"/>
        <v>0</v>
      </c>
      <c r="I66" s="99"/>
    </row>
    <row r="67" spans="1:9" s="100" customFormat="1" ht="16.5" thickBot="1">
      <c r="A67" s="111" t="s">
        <v>154</v>
      </c>
      <c r="B67" s="112"/>
      <c r="C67" s="113"/>
      <c r="D67" s="112"/>
      <c r="E67" s="113" t="s">
        <v>155</v>
      </c>
      <c r="F67" s="184">
        <f>G20</f>
        <v>0</v>
      </c>
      <c r="G67" s="185">
        <v>0.12</v>
      </c>
      <c r="H67" s="170">
        <f t="shared" si="1"/>
        <v>0</v>
      </c>
      <c r="I67" s="99"/>
    </row>
    <row r="68" spans="1:8" ht="17.25" thickBot="1" thickTop="1">
      <c r="A68" s="156" t="s">
        <v>157</v>
      </c>
      <c r="B68" s="172"/>
      <c r="C68" s="236"/>
      <c r="D68" s="238">
        <f>SUM(G11:G24,G29)+G26</f>
        <v>1656.0699999999997</v>
      </c>
      <c r="E68" s="237"/>
      <c r="F68" s="173"/>
      <c r="G68" s="178" t="s">
        <v>156</v>
      </c>
      <c r="H68" s="306">
        <f>SUM(H58:H67)</f>
        <v>612.3390813333333</v>
      </c>
    </row>
    <row r="69" spans="1:8" ht="16.5" thickTop="1">
      <c r="A69" s="113"/>
      <c r="B69" s="176"/>
      <c r="C69" s="175"/>
      <c r="D69" s="305"/>
      <c r="E69" s="175"/>
      <c r="F69" s="234"/>
      <c r="G69" s="223"/>
      <c r="H69" s="141"/>
    </row>
    <row r="70" ht="12.75"/>
    <row r="71" ht="12.75"/>
  </sheetData>
  <sheetProtection/>
  <mergeCells count="20">
    <mergeCell ref="B4:C4"/>
    <mergeCell ref="A6:B6"/>
    <mergeCell ref="E8:G8"/>
    <mergeCell ref="B1:D1"/>
    <mergeCell ref="F1:H1"/>
    <mergeCell ref="B2:D2"/>
    <mergeCell ref="B3:C3"/>
    <mergeCell ref="E3:F3"/>
    <mergeCell ref="A11:C11"/>
    <mergeCell ref="A14:B14"/>
    <mergeCell ref="A58:B58"/>
    <mergeCell ref="A59:B59"/>
    <mergeCell ref="A15:B15"/>
    <mergeCell ref="A16:B16"/>
    <mergeCell ref="A60:B60"/>
    <mergeCell ref="A17:C17"/>
    <mergeCell ref="A18:C18"/>
    <mergeCell ref="A24:C24"/>
    <mergeCell ref="A25:C25"/>
    <mergeCell ref="A26:C26"/>
  </mergeCells>
  <dataValidations count="9">
    <dataValidation type="list" allowBlank="1" showInputMessage="1" showErrorMessage="1" sqref="C14:C16">
      <formula1>$L$4:$L$5</formula1>
    </dataValidation>
    <dataValidation type="list" allowBlank="1" showInputMessage="1" showErrorMessage="1" sqref="D6">
      <formula1>"AÑO,2000,2001,2002,2003,2004,2005,2006,2007,2008,2009,2010,2011,2012,2013,2014,2015,2016,2017,2018,2019,2020,"</formula1>
    </dataValidation>
    <dataValidation type="list" showInputMessage="1" showErrorMessage="1" sqref="E4">
      <formula1>"SEG. SOCIAL,1,2,3,4,5,6,7,8,9,10,11,"</formula1>
    </dataValidation>
    <dataValidation type="list" allowBlank="1" showInputMessage="1" showErrorMessage="1" sqref="E11">
      <formula1>"1,2,3,4,5,6,7,8,9,10,11,12,13,14,15,16,17,18,19,20,21,22,23,24,25,26,27,28,29,30,31,"</formula1>
    </dataValidation>
    <dataValidation type="list" allowBlank="1" showInputMessage="1" showErrorMessage="1" sqref="H3">
      <formula1>"M,D,"</formula1>
    </dataValidation>
    <dataValidation type="list" allowBlank="1" showInputMessage="1" showErrorMessage="1" sqref="H5">
      <formula1>"1,2,3,4,5,6,"</formula1>
    </dataValidation>
    <dataValidation type="list" allowBlank="1" showInputMessage="1" showErrorMessage="1" sqref="H6">
      <formula1>"DIARIO O MENSUAL,1,2,3,4,5,6,7,8,9,10,11,12,13,14,15,16,17,18,19,20,21,22,23,24,25,26,27,28,29,30,31,"</formula1>
    </dataValidation>
    <dataValidation type="list" allowBlank="1" showInputMessage="1" showErrorMessage="1" sqref="C6">
      <formula1>"MES DE PAGO,ENERO,FEBRERO,MARZO,ABRIL,MAYO,JUNIO,JULIO,AGOSTO,SEPTIEMBRE,OCTUBRE,NOVIEMBRE,DICIEMBRE,"</formula1>
    </dataValidation>
    <dataValidation type="list" allowBlank="1" showInputMessage="1" showErrorMessage="1" sqref="D14:D18">
      <formula1>"SI,NO"</formula1>
    </dataValidation>
  </dataValidations>
  <printOptions/>
  <pageMargins left="0.75" right="0.75" top="1" bottom="1" header="0" footer="0"/>
  <pageSetup fitToHeight="1" fitToWidth="1"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2012-02-15T15:37:44Z</dcterms:created>
  <dcterms:modified xsi:type="dcterms:W3CDTF">2016-07-14T10:56:18Z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1951608601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